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ilo\Downloads\"/>
    </mc:Choice>
  </mc:AlternateContent>
  <bookViews>
    <workbookView xWindow="1068" yWindow="0" windowWidth="21972" windowHeight="9972" activeTab="2"/>
  </bookViews>
  <sheets>
    <sheet name="Calculo" sheetId="1" r:id="rId1"/>
    <sheet name="AEROS" sheetId="5" r:id="rId2"/>
    <sheet name="CURVAS" sheetId="4" r:id="rId3"/>
    <sheet name="Rugosidad" sheetId="9" r:id="rId4"/>
    <sheet name="EJEMPLO CALCULO" sheetId="7" r:id="rId5"/>
    <sheet name="Ejemplo Rugosidad" sheetId="10" r:id="rId6"/>
  </sheets>
  <definedNames>
    <definedName name="_xlnm._FilterDatabase" localSheetId="1" hidden="1">AEROS!$C$5:$C$9</definedName>
    <definedName name="_xlnm._FilterDatabase" localSheetId="0" hidden="1">Calculo!#REF!</definedName>
  </definedNames>
  <calcPr calcId="152511"/>
</workbook>
</file>

<file path=xl/calcChain.xml><?xml version="1.0" encoding="utf-8"?>
<calcChain xmlns="http://schemas.openxmlformats.org/spreadsheetml/2006/main">
  <c r="B2" i="4" l="1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B3" i="4"/>
  <c r="I22" i="5"/>
  <c r="I21" i="5" l="1"/>
  <c r="B6" i="1" l="1"/>
  <c r="B21" i="1" l="1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H4" i="5" l="1"/>
  <c r="S4" i="5"/>
  <c r="R4" i="5"/>
  <c r="L3" i="1"/>
  <c r="Q4" i="5"/>
  <c r="P4" i="5"/>
  <c r="T5" i="5"/>
  <c r="F1" i="1"/>
  <c r="J17" i="5"/>
  <c r="B13" i="1"/>
  <c r="B14" i="1" s="1"/>
  <c r="B8" i="1" s="1"/>
  <c r="E3" i="10"/>
  <c r="E23" i="10" s="1"/>
  <c r="H3" i="10"/>
  <c r="H2" i="10"/>
  <c r="G3" i="10"/>
  <c r="G2" i="10"/>
  <c r="L6" i="10"/>
  <c r="K6" i="10"/>
  <c r="K56" i="10"/>
  <c r="K54" i="10"/>
  <c r="K50" i="10"/>
  <c r="K49" i="10"/>
  <c r="K48" i="10"/>
  <c r="K46" i="10"/>
  <c r="K42" i="10"/>
  <c r="K41" i="10"/>
  <c r="K40" i="10"/>
  <c r="K38" i="10"/>
  <c r="K34" i="10"/>
  <c r="K33" i="10"/>
  <c r="K32" i="10"/>
  <c r="K30" i="10"/>
  <c r="K27" i="10"/>
  <c r="K23" i="10"/>
  <c r="K19" i="10"/>
  <c r="K15" i="10"/>
  <c r="K11" i="10"/>
  <c r="K7" i="10"/>
  <c r="L5" i="10"/>
  <c r="L26" i="10" s="1"/>
  <c r="K5" i="10"/>
  <c r="K55" i="10" s="1"/>
  <c r="E6" i="10"/>
  <c r="D6" i="10"/>
  <c r="D47" i="10"/>
  <c r="D48" i="10"/>
  <c r="D49" i="10"/>
  <c r="D50" i="10"/>
  <c r="D51" i="10"/>
  <c r="D52" i="10"/>
  <c r="D53" i="10"/>
  <c r="D54" i="10"/>
  <c r="D55" i="10"/>
  <c r="D56" i="10"/>
  <c r="E7" i="10"/>
  <c r="E39" i="10"/>
  <c r="E31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E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F32" i="7"/>
  <c r="H32" i="7" s="1"/>
  <c r="F31" i="7"/>
  <c r="H31" i="7"/>
  <c r="F30" i="7"/>
  <c r="H30" i="7" s="1"/>
  <c r="F29" i="7"/>
  <c r="H29" i="7" s="1"/>
  <c r="F28" i="7"/>
  <c r="H28" i="7" s="1"/>
  <c r="F27" i="7"/>
  <c r="H27" i="7"/>
  <c r="F26" i="7"/>
  <c r="H26" i="7" s="1"/>
  <c r="F25" i="7"/>
  <c r="H25" i="7" s="1"/>
  <c r="F24" i="7"/>
  <c r="H24" i="7" s="1"/>
  <c r="F23" i="7"/>
  <c r="H23" i="7"/>
  <c r="F22" i="7"/>
  <c r="H22" i="7" s="1"/>
  <c r="F21" i="7"/>
  <c r="H21" i="7" s="1"/>
  <c r="F20" i="7"/>
  <c r="H20" i="7" s="1"/>
  <c r="F19" i="7"/>
  <c r="H19" i="7"/>
  <c r="F18" i="7"/>
  <c r="H18" i="7" s="1"/>
  <c r="F17" i="7"/>
  <c r="H17" i="7" s="1"/>
  <c r="F16" i="7"/>
  <c r="H16" i="7" s="1"/>
  <c r="F15" i="7"/>
  <c r="H15" i="7"/>
  <c r="F14" i="7"/>
  <c r="H14" i="7" s="1"/>
  <c r="F13" i="7"/>
  <c r="H13" i="7" s="1"/>
  <c r="F12" i="7"/>
  <c r="H12" i="7" s="1"/>
  <c r="F11" i="7"/>
  <c r="H11" i="7"/>
  <c r="F10" i="7"/>
  <c r="H10" i="7" s="1"/>
  <c r="F9" i="7"/>
  <c r="H9" i="7" s="1"/>
  <c r="F8" i="7"/>
  <c r="H8" i="7"/>
  <c r="C6" i="7"/>
  <c r="B34" i="4"/>
  <c r="B34" i="1"/>
  <c r="B7" i="1"/>
  <c r="B3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M10" i="5"/>
  <c r="C4" i="1"/>
  <c r="L36" i="10"/>
  <c r="L37" i="10"/>
  <c r="L44" i="10"/>
  <c r="L8" i="1"/>
  <c r="L7" i="1"/>
  <c r="L11" i="1"/>
  <c r="L6" i="1"/>
  <c r="L25" i="1"/>
  <c r="B19" i="1"/>
  <c r="L10" i="1"/>
  <c r="L4" i="1"/>
  <c r="L9" i="1"/>
  <c r="L5" i="1"/>
  <c r="L14" i="1"/>
  <c r="L24" i="1"/>
  <c r="L23" i="1"/>
  <c r="L13" i="1"/>
  <c r="L12" i="1"/>
  <c r="L26" i="1"/>
  <c r="L19" i="1"/>
  <c r="L18" i="1"/>
  <c r="L17" i="1"/>
  <c r="L15" i="1"/>
  <c r="L22" i="1"/>
  <c r="L21" i="1"/>
  <c r="L20" i="1"/>
  <c r="L16" i="1"/>
  <c r="L27" i="1"/>
  <c r="B11" i="4" l="1"/>
  <c r="B12" i="4"/>
  <c r="B21" i="4"/>
  <c r="D4" i="5"/>
  <c r="B6" i="4"/>
  <c r="H5" i="1"/>
  <c r="B14" i="4"/>
  <c r="B9" i="4"/>
  <c r="B15" i="4"/>
  <c r="B8" i="4"/>
  <c r="B4" i="4"/>
  <c r="B5" i="4"/>
  <c r="B13" i="4"/>
  <c r="B22" i="1"/>
  <c r="B15" i="1"/>
  <c r="H19" i="1"/>
  <c r="H13" i="1"/>
  <c r="H14" i="1"/>
  <c r="H4" i="1"/>
  <c r="H3" i="1"/>
  <c r="I3" i="1" s="1"/>
  <c r="J3" i="1" s="1"/>
  <c r="M3" i="1" s="1"/>
  <c r="H24" i="1"/>
  <c r="L45" i="10"/>
  <c r="L22" i="10"/>
  <c r="L56" i="10"/>
  <c r="E49" i="10"/>
  <c r="E53" i="10"/>
  <c r="E46" i="10"/>
  <c r="E38" i="10"/>
  <c r="E30" i="10"/>
  <c r="E22" i="10"/>
  <c r="E14" i="10"/>
  <c r="L30" i="10"/>
  <c r="L38" i="10"/>
  <c r="L46" i="10"/>
  <c r="L54" i="10"/>
  <c r="E45" i="10"/>
  <c r="E37" i="10"/>
  <c r="E29" i="10"/>
  <c r="E13" i="10"/>
  <c r="L31" i="10"/>
  <c r="L47" i="10"/>
  <c r="L55" i="10"/>
  <c r="E48" i="10"/>
  <c r="E52" i="10"/>
  <c r="E40" i="10"/>
  <c r="E32" i="10"/>
  <c r="E16" i="10"/>
  <c r="L25" i="10"/>
  <c r="L21" i="10"/>
  <c r="L17" i="10"/>
  <c r="L13" i="10"/>
  <c r="L9" i="10"/>
  <c r="E21" i="10"/>
  <c r="L39" i="10"/>
  <c r="E56" i="10"/>
  <c r="E24" i="10"/>
  <c r="E8" i="10"/>
  <c r="E50" i="10"/>
  <c r="E54" i="10"/>
  <c r="E44" i="10"/>
  <c r="E36" i="10"/>
  <c r="E28" i="10"/>
  <c r="E20" i="10"/>
  <c r="E12" i="10"/>
  <c r="L32" i="10"/>
  <c r="L40" i="10"/>
  <c r="L48" i="10"/>
  <c r="L28" i="10"/>
  <c r="L24" i="10"/>
  <c r="L20" i="10"/>
  <c r="L16" i="10"/>
  <c r="L12" i="10"/>
  <c r="L8" i="10"/>
  <c r="E43" i="10"/>
  <c r="E35" i="10"/>
  <c r="E27" i="10"/>
  <c r="E19" i="10"/>
  <c r="E11" i="10"/>
  <c r="L33" i="10"/>
  <c r="L41" i="10"/>
  <c r="L49" i="10"/>
  <c r="L27" i="10"/>
  <c r="L23" i="10"/>
  <c r="L19" i="10"/>
  <c r="L15" i="10"/>
  <c r="L11" i="10"/>
  <c r="L7" i="10"/>
  <c r="E41" i="10"/>
  <c r="E33" i="10"/>
  <c r="E25" i="10"/>
  <c r="E17" i="10"/>
  <c r="E9" i="10"/>
  <c r="L35" i="10"/>
  <c r="L43" i="10"/>
  <c r="L51" i="10"/>
  <c r="E47" i="10"/>
  <c r="E51" i="10"/>
  <c r="E55" i="10"/>
  <c r="E42" i="10"/>
  <c r="E34" i="10"/>
  <c r="E26" i="10"/>
  <c r="E18" i="10"/>
  <c r="E10" i="10"/>
  <c r="L34" i="10"/>
  <c r="L42" i="10"/>
  <c r="L50" i="10"/>
  <c r="L10" i="10"/>
  <c r="H4" i="7"/>
  <c r="J4" i="7" s="1"/>
  <c r="L14" i="10"/>
  <c r="L29" i="10"/>
  <c r="L53" i="10"/>
  <c r="F33" i="7"/>
  <c r="G4" i="7"/>
  <c r="I4" i="7" s="1"/>
  <c r="G33" i="7"/>
  <c r="L52" i="10"/>
  <c r="E15" i="10"/>
  <c r="L18" i="10"/>
  <c r="H26" i="1"/>
  <c r="H22" i="1"/>
  <c r="H16" i="1"/>
  <c r="H11" i="1"/>
  <c r="H33" i="7"/>
  <c r="K8" i="10"/>
  <c r="K12" i="10"/>
  <c r="K16" i="10"/>
  <c r="K20" i="10"/>
  <c r="K24" i="10"/>
  <c r="K28" i="10"/>
  <c r="K35" i="10"/>
  <c r="K43" i="10"/>
  <c r="K51" i="10"/>
  <c r="B20" i="4"/>
  <c r="H12" i="1"/>
  <c r="H10" i="1"/>
  <c r="H6" i="1"/>
  <c r="T4" i="5"/>
  <c r="K36" i="10"/>
  <c r="K44" i="10"/>
  <c r="K52" i="10"/>
  <c r="B7" i="4"/>
  <c r="H23" i="1"/>
  <c r="H21" i="1"/>
  <c r="H20" i="1"/>
  <c r="B10" i="4"/>
  <c r="H27" i="1"/>
  <c r="K9" i="10"/>
  <c r="K13" i="10"/>
  <c r="K17" i="10"/>
  <c r="K21" i="10"/>
  <c r="K25" i="10"/>
  <c r="K29" i="10"/>
  <c r="K37" i="10"/>
  <c r="K45" i="10"/>
  <c r="K53" i="10"/>
  <c r="H17" i="1"/>
  <c r="H25" i="1"/>
  <c r="H15" i="1"/>
  <c r="H8" i="1"/>
  <c r="H9" i="1"/>
  <c r="H7" i="1"/>
  <c r="H18" i="1"/>
  <c r="K10" i="10"/>
  <c r="K14" i="10"/>
  <c r="K18" i="10"/>
  <c r="K22" i="10"/>
  <c r="K26" i="10"/>
  <c r="K31" i="10"/>
  <c r="K39" i="10"/>
  <c r="K47" i="10"/>
  <c r="B22" i="4" l="1"/>
  <c r="B25" i="4"/>
  <c r="B28" i="4"/>
  <c r="B19" i="4"/>
  <c r="I17" i="1"/>
  <c r="J17" i="1" s="1"/>
  <c r="M17" i="1" s="1"/>
  <c r="B16" i="4"/>
  <c r="I27" i="1"/>
  <c r="J27" i="1" s="1"/>
  <c r="M27" i="1" s="1"/>
  <c r="B23" i="4"/>
  <c r="B24" i="4"/>
  <c r="B18" i="4"/>
  <c r="B26" i="4"/>
  <c r="B17" i="4"/>
  <c r="B27" i="4"/>
  <c r="I6" i="1"/>
  <c r="J6" i="1" s="1"/>
  <c r="M6" i="1" s="1"/>
  <c r="I14" i="1"/>
  <c r="K14" i="1" s="1"/>
  <c r="I19" i="1"/>
  <c r="J19" i="1" s="1"/>
  <c r="M19" i="1" s="1"/>
  <c r="I20" i="1"/>
  <c r="J20" i="1" s="1"/>
  <c r="M20" i="1" s="1"/>
  <c r="I22" i="1"/>
  <c r="K22" i="1" s="1"/>
  <c r="N3" i="1"/>
  <c r="K3" i="1"/>
  <c r="I25" i="1"/>
  <c r="K25" i="1" s="1"/>
  <c r="I4" i="1"/>
  <c r="N4" i="1" s="1"/>
  <c r="I21" i="1"/>
  <c r="J21" i="1" s="1"/>
  <c r="M21" i="1" s="1"/>
  <c r="I15" i="1"/>
  <c r="J15" i="1" s="1"/>
  <c r="M15" i="1" s="1"/>
  <c r="I23" i="1"/>
  <c r="K23" i="1" s="1"/>
  <c r="I10" i="1"/>
  <c r="K10" i="1" s="1"/>
  <c r="I5" i="1"/>
  <c r="J5" i="1" s="1"/>
  <c r="M5" i="1" s="1"/>
  <c r="I12" i="1"/>
  <c r="I24" i="1"/>
  <c r="I13" i="1"/>
  <c r="I18" i="1"/>
  <c r="I26" i="1"/>
  <c r="I11" i="1"/>
  <c r="I9" i="1"/>
  <c r="I16" i="1"/>
  <c r="I7" i="1"/>
  <c r="I8" i="1"/>
  <c r="N6" i="1" l="1"/>
  <c r="K17" i="1"/>
  <c r="N17" i="1"/>
  <c r="K27" i="1"/>
  <c r="K6" i="1"/>
  <c r="N27" i="1"/>
  <c r="N25" i="1"/>
  <c r="J14" i="1"/>
  <c r="M14" i="1" s="1"/>
  <c r="N14" i="1"/>
  <c r="K19" i="1"/>
  <c r="J25" i="1"/>
  <c r="M25" i="1" s="1"/>
  <c r="J4" i="1"/>
  <c r="M4" i="1" s="1"/>
  <c r="K4" i="1"/>
  <c r="N22" i="1"/>
  <c r="J22" i="1"/>
  <c r="M22" i="1" s="1"/>
  <c r="N20" i="1"/>
  <c r="K20" i="1"/>
  <c r="N19" i="1"/>
  <c r="K21" i="1"/>
  <c r="N21" i="1"/>
  <c r="N23" i="1"/>
  <c r="J23" i="1"/>
  <c r="M23" i="1" s="1"/>
  <c r="K15" i="1"/>
  <c r="N15" i="1"/>
  <c r="N5" i="1"/>
  <c r="N10" i="1"/>
  <c r="J10" i="1"/>
  <c r="M10" i="1" s="1"/>
  <c r="K5" i="1"/>
  <c r="J8" i="1"/>
  <c r="M8" i="1" s="1"/>
  <c r="N8" i="1"/>
  <c r="K8" i="1"/>
  <c r="N9" i="1"/>
  <c r="K9" i="1"/>
  <c r="J9" i="1"/>
  <c r="M9" i="1" s="1"/>
  <c r="N16" i="1"/>
  <c r="J16" i="1"/>
  <c r="M16" i="1" s="1"/>
  <c r="K16" i="1"/>
  <c r="J12" i="1"/>
  <c r="M12" i="1" s="1"/>
  <c r="K12" i="1"/>
  <c r="N12" i="1"/>
  <c r="K11" i="1"/>
  <c r="J11" i="1"/>
  <c r="M11" i="1" s="1"/>
  <c r="N11" i="1"/>
  <c r="K18" i="1"/>
  <c r="J18" i="1"/>
  <c r="M18" i="1" s="1"/>
  <c r="N18" i="1"/>
  <c r="J13" i="1"/>
  <c r="M13" i="1" s="1"/>
  <c r="N13" i="1"/>
  <c r="K13" i="1"/>
  <c r="K7" i="1"/>
  <c r="J7" i="1"/>
  <c r="M7" i="1" s="1"/>
  <c r="N7" i="1"/>
  <c r="K24" i="1"/>
  <c r="J24" i="1"/>
  <c r="M24" i="1" s="1"/>
  <c r="N24" i="1"/>
  <c r="J26" i="1"/>
  <c r="M26" i="1" s="1"/>
  <c r="K26" i="1"/>
  <c r="N26" i="1"/>
  <c r="B10" i="1" l="1"/>
  <c r="B23" i="1"/>
  <c r="B27" i="1" s="1"/>
  <c r="B25" i="1" l="1"/>
  <c r="B26" i="1" s="1"/>
  <c r="B29" i="1"/>
  <c r="B24" i="1"/>
  <c r="B28" i="1"/>
  <c r="B30" i="1"/>
  <c r="T3" i="4"/>
  <c r="B20" i="1" s="1"/>
  <c r="L2" i="1" l="1"/>
</calcChain>
</file>

<file path=xl/comments1.xml><?xml version="1.0" encoding="utf-8"?>
<comments xmlns="http://schemas.openxmlformats.org/spreadsheetml/2006/main">
  <authors>
    <author>Camilo</author>
  </authors>
  <commentList>
    <comment ref="G2" authorId="0" shapeId="0">
      <text>
        <r>
          <rPr>
            <b/>
            <sz val="8"/>
            <color indexed="81"/>
            <rFont val="Tahoma"/>
            <family val="2"/>
          </rPr>
          <t>Camilo:</t>
        </r>
        <r>
          <rPr>
            <sz val="8"/>
            <color indexed="81"/>
            <rFont val="Tahoma"/>
            <family val="2"/>
          </rPr>
          <t xml:space="preserve">
Densidad de potencia eólica</t>
        </r>
      </text>
    </comment>
    <comment ref="K2" authorId="0" shapeId="0">
      <text>
        <r>
          <rPr>
            <b/>
            <sz val="8"/>
            <color indexed="81"/>
            <rFont val="Tahoma"/>
            <family val="2"/>
          </rPr>
          <t>Camilo:</t>
        </r>
        <r>
          <rPr>
            <sz val="8"/>
            <color indexed="81"/>
            <rFont val="Tahoma"/>
            <family val="2"/>
          </rPr>
          <t xml:space="preserve">
Densidad de potencia eólica</t>
        </r>
      </text>
    </comment>
    <comment ref="B3" authorId="0" shapeId="0">
      <text>
        <r>
          <rPr>
            <b/>
            <sz val="8"/>
            <color indexed="81"/>
            <rFont val="Tahoma"/>
            <family val="2"/>
          </rPr>
          <t>Camilo:</t>
        </r>
        <r>
          <rPr>
            <sz val="8"/>
            <color indexed="81"/>
            <rFont val="Tahoma"/>
            <family val="2"/>
          </rPr>
          <t xml:space="preserve">
Modificar este valor</t>
        </r>
      </text>
    </comment>
    <comment ref="B4" authorId="0" shapeId="0">
      <text>
        <r>
          <rPr>
            <b/>
            <sz val="8"/>
            <color indexed="81"/>
            <rFont val="Tahoma"/>
            <family val="2"/>
          </rPr>
          <t>Camilo:</t>
        </r>
        <r>
          <rPr>
            <sz val="8"/>
            <color indexed="81"/>
            <rFont val="Tahoma"/>
            <family val="2"/>
          </rPr>
          <t xml:space="preserve">
Modificar este valor (entre 1 y 3)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</rPr>
          <t>Camilo:</t>
        </r>
        <r>
          <rPr>
            <sz val="8"/>
            <color indexed="81"/>
            <rFont val="Tahoma"/>
            <family val="2"/>
          </rPr>
          <t xml:space="preserve">
Tipo de distribución</t>
        </r>
      </text>
    </comment>
    <comment ref="B6" authorId="0" shapeId="0">
      <text>
        <r>
          <rPr>
            <b/>
            <sz val="8"/>
            <color indexed="81"/>
            <rFont val="Tahoma"/>
            <family val="2"/>
          </rPr>
          <t>Camilo:</t>
        </r>
        <r>
          <rPr>
            <sz val="8"/>
            <color indexed="81"/>
            <rFont val="Tahoma"/>
            <family val="2"/>
          </rPr>
          <t xml:space="preserve">
Modificar este valor</t>
        </r>
      </text>
    </comment>
    <comment ref="B7" authorId="0" shapeId="0">
      <text>
        <r>
          <rPr>
            <b/>
            <sz val="8"/>
            <color indexed="81"/>
            <rFont val="Tahoma"/>
            <family val="2"/>
          </rPr>
          <t>Camilo:</t>
        </r>
        <r>
          <rPr>
            <sz val="8"/>
            <color indexed="81"/>
            <rFont val="Tahoma"/>
            <family val="2"/>
          </rPr>
          <t xml:space="preserve">
Parámetros de WEIBULL para la EXCEL</t>
        </r>
      </text>
    </comment>
    <comment ref="A10" authorId="0" shapeId="0">
      <text>
        <r>
          <rPr>
            <b/>
            <sz val="8"/>
            <color indexed="81"/>
            <rFont val="Tahoma"/>
            <family val="2"/>
          </rPr>
          <t>Camilo:</t>
        </r>
        <r>
          <rPr>
            <sz val="8"/>
            <color indexed="81"/>
            <rFont val="Tahoma"/>
            <family val="2"/>
          </rPr>
          <t xml:space="preserve">
Valor medio de la Densidad de Potencia Eólica</t>
        </r>
      </text>
    </comment>
    <comment ref="B18" authorId="0" shapeId="0">
      <text>
        <r>
          <rPr>
            <b/>
            <sz val="8"/>
            <color indexed="81"/>
            <rFont val="Tahoma"/>
            <family val="2"/>
          </rPr>
          <t>Camilo:</t>
        </r>
        <r>
          <rPr>
            <sz val="8"/>
            <color indexed="81"/>
            <rFont val="Tahoma"/>
            <family val="2"/>
          </rPr>
          <t xml:space="preserve">
Elegir un número entre 1 y 14 (1: AERO IDEAL)</t>
        </r>
      </text>
    </comment>
    <comment ref="A23" authorId="0" shapeId="0">
      <text>
        <r>
          <rPr>
            <b/>
            <sz val="8"/>
            <color indexed="81"/>
            <rFont val="Tahoma"/>
            <family val="2"/>
          </rPr>
          <t>Camilo:</t>
        </r>
        <r>
          <rPr>
            <sz val="8"/>
            <color indexed="81"/>
            <rFont val="Tahoma"/>
            <family val="2"/>
          </rPr>
          <t xml:space="preserve">
Energía producida en un año</t>
        </r>
      </text>
    </comment>
    <comment ref="A24" authorId="0" shapeId="0">
      <text>
        <r>
          <rPr>
            <b/>
            <sz val="8"/>
            <color indexed="81"/>
            <rFont val="Tahoma"/>
            <family val="2"/>
          </rPr>
          <t>Camilo:</t>
        </r>
        <r>
          <rPr>
            <sz val="8"/>
            <color indexed="81"/>
            <rFont val="Tahoma"/>
            <family val="2"/>
          </rPr>
          <t xml:space="preserve">
HORAS EQUIVALENTES AÑO</t>
        </r>
      </text>
    </comment>
    <comment ref="A25" authorId="0" shapeId="0">
      <text>
        <r>
          <rPr>
            <b/>
            <sz val="8"/>
            <color indexed="81"/>
            <rFont val="Tahoma"/>
            <family val="2"/>
          </rPr>
          <t>Camilo:</t>
        </r>
        <r>
          <rPr>
            <sz val="8"/>
            <color indexed="81"/>
            <rFont val="Tahoma"/>
            <family val="2"/>
          </rPr>
          <t xml:space="preserve">
Potencia media anual</t>
        </r>
      </text>
    </comment>
    <comment ref="A26" authorId="0" shapeId="0">
      <text>
        <r>
          <rPr>
            <b/>
            <sz val="8"/>
            <color indexed="81"/>
            <rFont val="Tahoma"/>
            <family val="2"/>
          </rPr>
          <t>Camilo:</t>
        </r>
        <r>
          <rPr>
            <sz val="8"/>
            <color indexed="81"/>
            <rFont val="Tahoma"/>
            <family val="2"/>
          </rPr>
          <t xml:space="preserve">
Factor de capacidad</t>
        </r>
      </text>
    </comment>
    <comment ref="A27" authorId="0" shapeId="0">
      <text>
        <r>
          <rPr>
            <b/>
            <sz val="8"/>
            <color indexed="81"/>
            <rFont val="Tahoma"/>
            <family val="2"/>
          </rPr>
          <t>Camilo:</t>
        </r>
        <r>
          <rPr>
            <sz val="8"/>
            <color indexed="81"/>
            <rFont val="Tahoma"/>
            <family val="2"/>
          </rPr>
          <t xml:space="preserve">
Nº de viviendas que se podrían alimentar con la energía producida</t>
        </r>
      </text>
    </comment>
    <comment ref="A28" authorId="0" shapeId="0">
      <text>
        <r>
          <rPr>
            <b/>
            <sz val="8"/>
            <color indexed="81"/>
            <rFont val="Tahoma"/>
            <family val="2"/>
          </rPr>
          <t>Camilo:</t>
        </r>
        <r>
          <rPr>
            <sz val="8"/>
            <color indexed="81"/>
            <rFont val="Tahoma"/>
            <family val="2"/>
          </rPr>
          <t xml:space="preserve">
Toneladas de CO2 equivalentes</t>
        </r>
      </text>
    </comment>
    <comment ref="A29" authorId="0" shapeId="0">
      <text>
        <r>
          <rPr>
            <b/>
            <sz val="8"/>
            <color indexed="81"/>
            <rFont val="Tahoma"/>
            <family val="2"/>
          </rPr>
          <t>Camilo:</t>
        </r>
        <r>
          <rPr>
            <sz val="8"/>
            <color indexed="81"/>
            <rFont val="Tahoma"/>
            <family val="2"/>
          </rPr>
          <t xml:space="preserve">
Factor de mérito del aerogenerador. Cuanda energía produce (kWh) por potencia (kW) instalada.</t>
        </r>
      </text>
    </comment>
    <comment ref="A30" authorId="0" shapeId="0">
      <text>
        <r>
          <rPr>
            <b/>
            <sz val="8"/>
            <color indexed="81"/>
            <rFont val="Tahoma"/>
            <family val="2"/>
          </rPr>
          <t>Camilo:</t>
        </r>
        <r>
          <rPr>
            <sz val="8"/>
            <color indexed="81"/>
            <rFont val="Tahoma"/>
            <family val="2"/>
          </rPr>
          <t xml:space="preserve">
Medida de la eficiencia de un aerogenerador.</t>
        </r>
      </text>
    </comment>
    <comment ref="A32" authorId="0" shapeId="0">
      <text>
        <r>
          <rPr>
            <b/>
            <sz val="8"/>
            <color indexed="81"/>
            <rFont val="Tahoma"/>
            <family val="2"/>
          </rPr>
          <t>Camilo:</t>
        </r>
        <r>
          <rPr>
            <sz val="8"/>
            <color indexed="81"/>
            <rFont val="Tahoma"/>
            <family val="2"/>
          </rPr>
          <t xml:space="preserve">
Toneladas de CO2 por kWh</t>
        </r>
      </text>
    </comment>
    <comment ref="A33" authorId="0" shapeId="0">
      <text>
        <r>
          <rPr>
            <b/>
            <sz val="8"/>
            <color indexed="81"/>
            <rFont val="Tahoma"/>
            <family val="2"/>
          </rPr>
          <t>Camilo:</t>
        </r>
        <r>
          <rPr>
            <sz val="8"/>
            <color indexed="81"/>
            <rFont val="Tahoma"/>
            <family val="2"/>
          </rPr>
          <t xml:space="preserve">
KWh por vivienda</t>
        </r>
      </text>
    </comment>
    <comment ref="A34" authorId="0" shapeId="0">
      <text>
        <r>
          <rPr>
            <b/>
            <sz val="8"/>
            <color indexed="81"/>
            <rFont val="Tahoma"/>
            <family val="2"/>
          </rPr>
          <t>Camilo:</t>
        </r>
        <r>
          <rPr>
            <sz val="8"/>
            <color indexed="81"/>
            <rFont val="Tahoma"/>
            <family val="2"/>
          </rPr>
          <t xml:space="preserve">
Horas por año</t>
        </r>
      </text>
    </comment>
  </commentList>
</comments>
</file>

<file path=xl/comments2.xml><?xml version="1.0" encoding="utf-8"?>
<comments xmlns="http://schemas.openxmlformats.org/spreadsheetml/2006/main">
  <authors>
    <author>Cami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Cami:</t>
        </r>
        <r>
          <rPr>
            <sz val="9"/>
            <color indexed="81"/>
            <rFont val="Tahoma"/>
            <family val="2"/>
          </rPr>
          <t xml:space="preserve">
Permite la edición de parámetros.</t>
        </r>
      </text>
    </comment>
  </commentList>
</comments>
</file>

<file path=xl/comments3.xml><?xml version="1.0" encoding="utf-8"?>
<comments xmlns="http://schemas.openxmlformats.org/spreadsheetml/2006/main">
  <authors>
    <author>Cami</author>
  </authors>
  <commentList>
    <comment ref="G1" authorId="0" shapeId="0">
      <text>
        <r>
          <rPr>
            <b/>
            <sz val="9"/>
            <color indexed="81"/>
            <rFont val="Tahoma"/>
            <family val="2"/>
          </rPr>
          <t>Cami:</t>
        </r>
        <r>
          <rPr>
            <sz val="9"/>
            <color indexed="81"/>
            <rFont val="Tahoma"/>
            <family val="2"/>
          </rPr>
          <t xml:space="preserve">
SUMA DE LOS VALORES DE DENSIDAD DE POTENCIA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Cami:</t>
        </r>
        <r>
          <rPr>
            <sz val="9"/>
            <color indexed="81"/>
            <rFont val="Tahoma"/>
            <family val="2"/>
          </rPr>
          <t xml:space="preserve">
SUMA DE LOS VALORES DE DENSIDAD DE ENERGÍA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Cami:</t>
        </r>
        <r>
          <rPr>
            <sz val="9"/>
            <color indexed="81"/>
            <rFont val="Tahoma"/>
            <family val="2"/>
          </rPr>
          <t xml:space="preserve">
FC = P. media / P. nom.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Cami:</t>
        </r>
        <r>
          <rPr>
            <sz val="9"/>
            <color indexed="81"/>
            <rFont val="Tahoma"/>
            <family val="2"/>
          </rPr>
          <t xml:space="preserve">
HE = Energía / Pnom
HE = FC * 8760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Cami:</t>
        </r>
        <r>
          <rPr>
            <sz val="9"/>
            <color indexed="81"/>
            <rFont val="Tahoma"/>
            <family val="2"/>
          </rPr>
          <t xml:space="preserve">
Horas/año = Probabilidad x Nº de horas en un año
Horas/año = 8760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Cami:</t>
        </r>
        <r>
          <rPr>
            <sz val="9"/>
            <color indexed="81"/>
            <rFont val="Tahoma"/>
            <family val="2"/>
          </rPr>
          <t xml:space="preserve">
D.P. = POT. x PROB.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Cami:</t>
        </r>
        <r>
          <rPr>
            <sz val="9"/>
            <color indexed="81"/>
            <rFont val="Tahoma"/>
            <family val="2"/>
          </rPr>
          <t xml:space="preserve">
D.E. = POT. x H/AÑO
D.E. = D.P.  x 8760</t>
        </r>
      </text>
    </comment>
  </commentList>
</comments>
</file>

<file path=xl/sharedStrings.xml><?xml version="1.0" encoding="utf-8"?>
<sst xmlns="http://schemas.openxmlformats.org/spreadsheetml/2006/main" count="157" uniqueCount="123">
  <si>
    <t>U (m/s)</t>
  </si>
  <si>
    <t>Factor Forma (k)</t>
  </si>
  <si>
    <t>horas/año</t>
  </si>
  <si>
    <t>alfa</t>
  </si>
  <si>
    <t>beta</t>
  </si>
  <si>
    <t xml:space="preserve">Izar-Bonus 1.3 Mw </t>
  </si>
  <si>
    <t xml:space="preserve">Izar-Bonus MK - IV </t>
  </si>
  <si>
    <t xml:space="preserve">Gamesa G-47 </t>
  </si>
  <si>
    <t xml:space="preserve">Made AE-52 </t>
  </si>
  <si>
    <t xml:space="preserve">Made AE - 61 </t>
  </si>
  <si>
    <t>Tensión (V)</t>
  </si>
  <si>
    <t>Tipo</t>
  </si>
  <si>
    <t>Potencia (kW)</t>
  </si>
  <si>
    <t>Paso de pala</t>
  </si>
  <si>
    <t>Relacion Mult.</t>
  </si>
  <si>
    <t>Vel. Max (rpm)</t>
  </si>
  <si>
    <t>Vel. Min (rpm)</t>
  </si>
  <si>
    <t>Vel. Turb. Max (rpm)</t>
  </si>
  <si>
    <t>Vel. Turb. Min (rpm)</t>
  </si>
  <si>
    <t>AEROGENERADOR</t>
  </si>
  <si>
    <t xml:space="preserve">Asíncrono de doble velocidad (4 y 6 polos). </t>
  </si>
  <si>
    <t xml:space="preserve">Variable </t>
  </si>
  <si>
    <t xml:space="preserve">Asíncrono doblemente alimentado (resistencias rotóricas). </t>
  </si>
  <si>
    <t xml:space="preserve">Asíncrono velocidad fija (4 polos). </t>
  </si>
  <si>
    <t xml:space="preserve">Fijo </t>
  </si>
  <si>
    <t xml:space="preserve">Síncrono de 4 polos, control electrónico de potencia. </t>
  </si>
  <si>
    <t xml:space="preserve">Asíncrono de doble velocidad (4 y 6 polos - 1400/300 kW) </t>
  </si>
  <si>
    <t>E (kWh/año)</t>
  </si>
  <si>
    <t>Horas Eq.</t>
  </si>
  <si>
    <t>P media</t>
  </si>
  <si>
    <t>P. Nom (kW)</t>
  </si>
  <si>
    <t>F. Capacidad</t>
  </si>
  <si>
    <t>Horas/año</t>
  </si>
  <si>
    <t>VIENTO</t>
  </si>
  <si>
    <t>Prob. Acum.</t>
  </si>
  <si>
    <t>Prob.</t>
  </si>
  <si>
    <t>Nº Viviendas</t>
  </si>
  <si>
    <t>Tipo Aero</t>
  </si>
  <si>
    <r>
      <t>Toneladas CO</t>
    </r>
    <r>
      <rPr>
        <b/>
        <vertAlign val="subscript"/>
        <sz val="10"/>
        <rFont val="Arial"/>
        <family val="2"/>
      </rPr>
      <t>2</t>
    </r>
  </si>
  <si>
    <t>kWh/kW</t>
  </si>
  <si>
    <t>Altura torre (m)</t>
  </si>
  <si>
    <t>Diámetro Rotor (m)</t>
  </si>
  <si>
    <t>Area Rotor (m2)</t>
  </si>
  <si>
    <t>kW/m2</t>
  </si>
  <si>
    <t>kWh/m2/año</t>
  </si>
  <si>
    <t>E (MWh/año)</t>
  </si>
  <si>
    <t>MWh/vivienda</t>
  </si>
  <si>
    <r>
      <t>Ton CO</t>
    </r>
    <r>
      <rPr>
        <b/>
        <vertAlign val="subscript"/>
        <sz val="10"/>
        <color indexed="55"/>
        <rFont val="Arial"/>
        <family val="2"/>
      </rPr>
      <t>2</t>
    </r>
    <r>
      <rPr>
        <b/>
        <sz val="10"/>
        <color indexed="55"/>
        <rFont val="Arial"/>
        <family val="2"/>
      </rPr>
      <t>/MWh</t>
    </r>
  </si>
  <si>
    <t>-</t>
  </si>
  <si>
    <t>Vestas V82</t>
  </si>
  <si>
    <t>DPE (W/m2)</t>
  </si>
  <si>
    <t>Viento Medio (m/s)</t>
  </si>
  <si>
    <t>Densidad aire (kg/m3)</t>
  </si>
  <si>
    <t>DPE media (W/m2)</t>
  </si>
  <si>
    <t>Factor Escala (A) m/s</t>
  </si>
  <si>
    <t>Dist. de DPE (W/m2)</t>
  </si>
  <si>
    <t>Dist.Potencia Salida W/m2</t>
  </si>
  <si>
    <t>ro</t>
  </si>
  <si>
    <t>A</t>
  </si>
  <si>
    <t>D</t>
  </si>
  <si>
    <t>Un</t>
  </si>
  <si>
    <t>Uin</t>
  </si>
  <si>
    <t>CpOpt</t>
  </si>
  <si>
    <t>E82</t>
  </si>
  <si>
    <t>II</t>
  </si>
  <si>
    <t>Enercon E44</t>
  </si>
  <si>
    <t>Síncrono multipolos</t>
  </si>
  <si>
    <t>Enercon E44 IDEAL</t>
  </si>
  <si>
    <t>Enercon E82</t>
  </si>
  <si>
    <t>Enercon E82 IDEAL</t>
  </si>
  <si>
    <t>MODELO</t>
  </si>
  <si>
    <t>Pot. nom (kW)</t>
  </si>
  <si>
    <t>Clase de Viento</t>
  </si>
  <si>
    <t>Área Barrido (m12)</t>
  </si>
  <si>
    <t>Pot. Máx. (kW)</t>
  </si>
  <si>
    <t>Viento (m/s)</t>
  </si>
  <si>
    <t>Probalidad</t>
  </si>
  <si>
    <t>Distribución Viento</t>
  </si>
  <si>
    <t>Weib.</t>
  </si>
  <si>
    <t>Pot. media (kW)</t>
  </si>
  <si>
    <t>Energía (MWh/año)</t>
  </si>
  <si>
    <t>F.capacidad (%)              Pmed/Pnom</t>
  </si>
  <si>
    <t>Horas equivalentes (h/año)</t>
  </si>
  <si>
    <t xml:space="preserve">Densidad Potencia (kW)       </t>
  </si>
  <si>
    <t>Densidad Energía (MWh/año)</t>
  </si>
  <si>
    <t>Altura medida (m)</t>
  </si>
  <si>
    <t>Rugosidad</t>
  </si>
  <si>
    <t>Viento medido (m/s)</t>
  </si>
  <si>
    <t>Altura estimación (m)</t>
  </si>
  <si>
    <t>Vientos</t>
  </si>
  <si>
    <t>Altura explotación (m)</t>
  </si>
  <si>
    <t>Factor Escala corregido (A) m/s</t>
  </si>
  <si>
    <t>Factor corrección rugosidad</t>
  </si>
  <si>
    <t>300kW FloWind 19-m VAWT</t>
  </si>
  <si>
    <t>Cal-ePower 10 kW VAWT</t>
  </si>
  <si>
    <t>Darrieus - Asíncrono (1800 rpm)</t>
  </si>
  <si>
    <t>Darrieus-Savonius - Sincróno Imanes permanentes</t>
  </si>
  <si>
    <t>ROTAPEC - Sincróno Imanes permanentes</t>
  </si>
  <si>
    <t>Ropatec Simply Vertical</t>
  </si>
  <si>
    <t>DU</t>
  </si>
  <si>
    <t>A MODIFICAR EN VERDE!</t>
  </si>
  <si>
    <t>Ideal</t>
  </si>
  <si>
    <t>Velocidad nominal</t>
  </si>
  <si>
    <t>Velocidad arranque</t>
  </si>
  <si>
    <t>Velocidad desconexión</t>
  </si>
  <si>
    <t>Dens.</t>
  </si>
  <si>
    <t>Coeficiente de potencia</t>
  </si>
  <si>
    <t>PARÁMETROS EDITABLES</t>
  </si>
  <si>
    <t>Velocidad de arranque</t>
  </si>
  <si>
    <t>Velocidad de parada</t>
  </si>
  <si>
    <t>Diámetro de pala</t>
  </si>
  <si>
    <t>Nº AERO</t>
  </si>
  <si>
    <t>Parámetros para AERO IDEAL (Nº Aero = 1)</t>
  </si>
  <si>
    <t>donQi Urban Windmill 1.5</t>
  </si>
  <si>
    <t>UGE-9M</t>
  </si>
  <si>
    <t>Fijo-Vertical</t>
  </si>
  <si>
    <t>Viento medio medida m/s</t>
  </si>
  <si>
    <t>Área Barrido</t>
  </si>
  <si>
    <t>eddyGT</t>
  </si>
  <si>
    <t>Bergey</t>
  </si>
  <si>
    <t>Sincróno Imanes permanentes</t>
  </si>
  <si>
    <t>IDEAL</t>
  </si>
  <si>
    <t>BORNAY 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</si>
</sst>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"/>
    <numFmt numFmtId="166" formatCode="0.000"/>
    <numFmt numFmtId="167" formatCode="0.0%"/>
    <numFmt numFmtId="168" formatCode="#,##0.0"/>
  </numFmts>
  <fonts count="2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9"/>
      <color indexed="22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6"/>
      <name val="Arial"/>
      <family val="2"/>
    </font>
    <font>
      <sz val="10"/>
      <color indexed="22"/>
      <name val="Arial"/>
      <family val="2"/>
    </font>
    <font>
      <b/>
      <sz val="10"/>
      <color indexed="55"/>
      <name val="Arial"/>
      <family val="2"/>
    </font>
    <font>
      <b/>
      <vertAlign val="subscript"/>
      <sz val="10"/>
      <name val="Arial"/>
      <family val="2"/>
    </font>
    <font>
      <b/>
      <vertAlign val="subscript"/>
      <sz val="10"/>
      <color indexed="55"/>
      <name val="Arial"/>
      <family val="2"/>
    </font>
    <font>
      <b/>
      <sz val="10"/>
      <color indexed="12"/>
      <name val="Arial"/>
      <family val="2"/>
    </font>
    <font>
      <b/>
      <sz val="16"/>
      <color indexed="57"/>
      <name val="Arial"/>
      <family val="2"/>
    </font>
    <font>
      <b/>
      <sz val="12"/>
      <color indexed="57"/>
      <name val="Arial"/>
      <family val="2"/>
    </font>
    <font>
      <b/>
      <sz val="18"/>
      <color indexed="57"/>
      <name val="Arial"/>
      <family val="2"/>
    </font>
    <font>
      <b/>
      <sz val="1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3"/>
      <name val="Arial"/>
      <family val="2"/>
    </font>
    <font>
      <b/>
      <sz val="10"/>
      <color theme="0" tint="-0.499984740745262"/>
      <name val="Arial"/>
      <family val="2"/>
    </font>
    <font>
      <sz val="10"/>
      <color theme="1" tint="0.249977111117893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 tint="0.49998474074526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 style="thick">
        <color rgb="FFC00000"/>
      </left>
      <right/>
      <top/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/>
      <right style="thick">
        <color rgb="FFC00000"/>
      </right>
      <top/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2" fillId="0" borderId="0" xfId="0" applyFont="1"/>
    <xf numFmtId="2" fontId="0" fillId="0" borderId="0" xfId="0" applyNumberFormat="1"/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2" fontId="5" fillId="2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4" fillId="5" borderId="0" xfId="0" applyFont="1" applyFill="1" applyAlignment="1">
      <alignment horizontal="center"/>
    </xf>
    <xf numFmtId="0" fontId="5" fillId="5" borderId="0" xfId="0" applyFont="1" applyFill="1" applyAlignment="1">
      <alignment horizontal="left"/>
    </xf>
    <xf numFmtId="2" fontId="5" fillId="5" borderId="0" xfId="0" applyNumberFormat="1" applyFont="1" applyFill="1" applyAlignment="1">
      <alignment horizontal="left"/>
    </xf>
    <xf numFmtId="164" fontId="5" fillId="3" borderId="0" xfId="0" applyNumberFormat="1" applyFont="1" applyFill="1" applyAlignment="1">
      <alignment horizontal="left"/>
    </xf>
    <xf numFmtId="166" fontId="5" fillId="3" borderId="0" xfId="0" applyNumberFormat="1" applyFont="1" applyFill="1" applyAlignment="1">
      <alignment horizontal="left"/>
    </xf>
    <xf numFmtId="164" fontId="5" fillId="5" borderId="0" xfId="0" applyNumberFormat="1" applyFont="1" applyFill="1" applyAlignment="1">
      <alignment horizontal="left"/>
    </xf>
    <xf numFmtId="0" fontId="4" fillId="6" borderId="0" xfId="0" applyFont="1" applyFill="1" applyAlignment="1">
      <alignment horizontal="center"/>
    </xf>
    <xf numFmtId="0" fontId="5" fillId="6" borderId="0" xfId="0" applyFont="1" applyFill="1" applyAlignment="1">
      <alignment horizontal="left"/>
    </xf>
    <xf numFmtId="164" fontId="5" fillId="6" borderId="0" xfId="0" applyNumberFormat="1" applyFont="1" applyFill="1" applyAlignment="1">
      <alignment horizontal="left"/>
    </xf>
    <xf numFmtId="166" fontId="5" fillId="6" borderId="0" xfId="0" applyNumberFormat="1" applyFont="1" applyFill="1" applyAlignment="1">
      <alignment horizontal="left"/>
    </xf>
    <xf numFmtId="164" fontId="5" fillId="4" borderId="0" xfId="0" applyNumberFormat="1" applyFont="1" applyFill="1" applyAlignment="1">
      <alignment horizontal="left"/>
    </xf>
    <xf numFmtId="166" fontId="5" fillId="4" borderId="0" xfId="0" applyNumberFormat="1" applyFont="1" applyFill="1" applyAlignment="1">
      <alignment horizontal="left"/>
    </xf>
    <xf numFmtId="2" fontId="0" fillId="0" borderId="0" xfId="0" applyNumberForma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5" fillId="2" borderId="0" xfId="0" applyNumberFormat="1" applyFont="1" applyFill="1" applyAlignment="1">
      <alignment horizontal="center"/>
    </xf>
    <xf numFmtId="166" fontId="5" fillId="4" borderId="0" xfId="0" applyNumberFormat="1" applyFont="1" applyFill="1" applyAlignment="1">
      <alignment horizontal="center"/>
    </xf>
    <xf numFmtId="166" fontId="5" fillId="5" borderId="0" xfId="0" applyNumberFormat="1" applyFont="1" applyFill="1" applyAlignment="1">
      <alignment horizontal="center"/>
    </xf>
    <xf numFmtId="166" fontId="5" fillId="3" borderId="0" xfId="0" applyNumberFormat="1" applyFont="1" applyFill="1" applyAlignment="1">
      <alignment horizontal="center"/>
    </xf>
    <xf numFmtId="166" fontId="5" fillId="6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2" fontId="2" fillId="7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16" fillId="3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168" fontId="0" fillId="0" borderId="0" xfId="0" applyNumberFormat="1"/>
    <xf numFmtId="4" fontId="6" fillId="0" borderId="0" xfId="0" applyNumberFormat="1" applyFont="1"/>
    <xf numFmtId="0" fontId="2" fillId="9" borderId="0" xfId="0" applyFont="1" applyFill="1" applyBorder="1" applyAlignment="1">
      <alignment horizontal="right"/>
    </xf>
    <xf numFmtId="0" fontId="0" fillId="9" borderId="3" xfId="0" applyFill="1" applyBorder="1"/>
    <xf numFmtId="0" fontId="0" fillId="9" borderId="5" xfId="0" applyFill="1" applyBorder="1"/>
    <xf numFmtId="0" fontId="0" fillId="9" borderId="6" xfId="0" applyFill="1" applyBorder="1"/>
    <xf numFmtId="0" fontId="2" fillId="9" borderId="7" xfId="0" applyFont="1" applyFill="1" applyBorder="1" applyAlignment="1">
      <alignment horizontal="right"/>
    </xf>
    <xf numFmtId="0" fontId="6" fillId="9" borderId="8" xfId="0" applyFont="1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10" borderId="3" xfId="0" applyFill="1" applyBorder="1"/>
    <xf numFmtId="0" fontId="2" fillId="10" borderId="0" xfId="0" applyFont="1" applyFill="1" applyBorder="1" applyAlignment="1">
      <alignment horizontal="right"/>
    </xf>
    <xf numFmtId="2" fontId="0" fillId="10" borderId="9" xfId="0" applyNumberFormat="1" applyFill="1" applyBorder="1" applyAlignment="1">
      <alignment horizontal="center"/>
    </xf>
    <xf numFmtId="0" fontId="0" fillId="10" borderId="9" xfId="0" applyFill="1" applyBorder="1"/>
    <xf numFmtId="0" fontId="0" fillId="10" borderId="5" xfId="0" applyFill="1" applyBorder="1"/>
    <xf numFmtId="2" fontId="0" fillId="10" borderId="0" xfId="0" applyNumberFormat="1" applyFill="1" applyBorder="1" applyAlignment="1">
      <alignment horizontal="center"/>
    </xf>
    <xf numFmtId="1" fontId="6" fillId="11" borderId="13" xfId="0" applyNumberFormat="1" applyFont="1" applyFill="1" applyBorder="1" applyAlignment="1">
      <alignment horizontal="center" vertical="center"/>
    </xf>
    <xf numFmtId="1" fontId="6" fillId="11" borderId="14" xfId="0" applyNumberFormat="1" applyFont="1" applyFill="1" applyBorder="1" applyAlignment="1">
      <alignment horizontal="center" vertical="center"/>
    </xf>
    <xf numFmtId="3" fontId="0" fillId="12" borderId="4" xfId="0" applyNumberFormat="1" applyFill="1" applyBorder="1" applyAlignment="1">
      <alignment horizontal="center"/>
    </xf>
    <xf numFmtId="3" fontId="0" fillId="12" borderId="10" xfId="0" applyNumberFormat="1" applyFill="1" applyBorder="1" applyAlignment="1">
      <alignment horizontal="center"/>
    </xf>
    <xf numFmtId="0" fontId="22" fillId="13" borderId="15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3" fontId="0" fillId="9" borderId="9" xfId="0" applyNumberFormat="1" applyFill="1" applyBorder="1" applyAlignment="1">
      <alignment horizontal="center"/>
    </xf>
    <xf numFmtId="1" fontId="6" fillId="11" borderId="17" xfId="0" applyNumberFormat="1" applyFont="1" applyFill="1" applyBorder="1" applyAlignment="1">
      <alignment horizontal="center" vertical="center"/>
    </xf>
    <xf numFmtId="9" fontId="6" fillId="11" borderId="13" xfId="0" applyNumberFormat="1" applyFont="1" applyFill="1" applyBorder="1" applyAlignment="1">
      <alignment horizontal="center" vertical="center"/>
    </xf>
    <xf numFmtId="167" fontId="0" fillId="10" borderId="3" xfId="0" applyNumberFormat="1" applyFill="1" applyBorder="1" applyAlignment="1">
      <alignment horizontal="center"/>
    </xf>
    <xf numFmtId="1" fontId="0" fillId="10" borderId="9" xfId="0" applyNumberFormat="1" applyFill="1" applyBorder="1" applyAlignment="1">
      <alignment horizontal="center"/>
    </xf>
    <xf numFmtId="1" fontId="0" fillId="13" borderId="3" xfId="0" applyNumberFormat="1" applyFill="1" applyBorder="1" applyAlignment="1">
      <alignment horizontal="center"/>
    </xf>
    <xf numFmtId="1" fontId="0" fillId="13" borderId="9" xfId="0" applyNumberFormat="1" applyFill="1" applyBorder="1" applyAlignment="1">
      <alignment horizontal="center"/>
    </xf>
    <xf numFmtId="167" fontId="0" fillId="10" borderId="5" xfId="0" applyNumberFormat="1" applyFill="1" applyBorder="1" applyAlignment="1">
      <alignment horizontal="center"/>
    </xf>
    <xf numFmtId="1" fontId="0" fillId="10" borderId="11" xfId="0" applyNumberFormat="1" applyFill="1" applyBorder="1" applyAlignment="1">
      <alignment horizontal="center"/>
    </xf>
    <xf numFmtId="1" fontId="0" fillId="13" borderId="5" xfId="0" applyNumberFormat="1" applyFill="1" applyBorder="1" applyAlignment="1">
      <alignment horizontal="center"/>
    </xf>
    <xf numFmtId="1" fontId="0" fillId="13" borderId="11" xfId="0" applyNumberFormat="1" applyFill="1" applyBorder="1" applyAlignment="1">
      <alignment horizontal="center"/>
    </xf>
    <xf numFmtId="3" fontId="0" fillId="9" borderId="11" xfId="0" applyNumberFormat="1" applyFill="1" applyBorder="1" applyAlignment="1">
      <alignment horizontal="center"/>
    </xf>
    <xf numFmtId="0" fontId="0" fillId="14" borderId="0" xfId="0" applyFill="1"/>
    <xf numFmtId="0" fontId="22" fillId="14" borderId="3" xfId="0" applyFont="1" applyFill="1" applyBorder="1" applyAlignment="1">
      <alignment vertical="center" wrapText="1"/>
    </xf>
    <xf numFmtId="0" fontId="0" fillId="14" borderId="3" xfId="0" applyFill="1" applyBorder="1" applyAlignment="1">
      <alignment horizontal="right"/>
    </xf>
    <xf numFmtId="0" fontId="0" fillId="14" borderId="0" xfId="0" applyFill="1" applyAlignment="1">
      <alignment horizontal="center"/>
    </xf>
    <xf numFmtId="9" fontId="23" fillId="14" borderId="0" xfId="0" applyNumberFormat="1" applyFont="1" applyFill="1" applyAlignment="1">
      <alignment horizontal="center"/>
    </xf>
    <xf numFmtId="1" fontId="23" fillId="14" borderId="0" xfId="0" applyNumberFormat="1" applyFont="1" applyFill="1" applyAlignment="1">
      <alignment horizontal="center"/>
    </xf>
    <xf numFmtId="165" fontId="0" fillId="14" borderId="0" xfId="0" applyNumberFormat="1" applyFill="1"/>
    <xf numFmtId="2" fontId="0" fillId="14" borderId="0" xfId="0" applyNumberFormat="1" applyFill="1"/>
    <xf numFmtId="2" fontId="22" fillId="10" borderId="18" xfId="0" applyNumberFormat="1" applyFont="1" applyFill="1" applyBorder="1" applyAlignment="1">
      <alignment horizontal="center" vertical="center" wrapText="1"/>
    </xf>
    <xf numFmtId="2" fontId="22" fillId="10" borderId="19" xfId="0" applyNumberFormat="1" applyFont="1" applyFill="1" applyBorder="1" applyAlignment="1">
      <alignment horizontal="center" vertical="center" wrapText="1"/>
    </xf>
    <xf numFmtId="4" fontId="22" fillId="9" borderId="19" xfId="0" applyNumberFormat="1" applyFont="1" applyFill="1" applyBorder="1" applyAlignment="1">
      <alignment horizontal="center" vertical="center" wrapText="1"/>
    </xf>
    <xf numFmtId="3" fontId="22" fillId="12" borderId="20" xfId="0" applyNumberFormat="1" applyFont="1" applyFill="1" applyBorder="1" applyAlignment="1">
      <alignment horizontal="center" vertical="center" wrapText="1"/>
    </xf>
    <xf numFmtId="0" fontId="6" fillId="0" borderId="0" xfId="0" applyFon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 wrapText="1"/>
    </xf>
    <xf numFmtId="166" fontId="0" fillId="0" borderId="0" xfId="0" applyNumberForma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1" fontId="24" fillId="0" borderId="0" xfId="0" applyNumberFormat="1" applyFont="1" applyAlignment="1">
      <alignment horizontal="center"/>
    </xf>
    <xf numFmtId="2" fontId="17" fillId="8" borderId="2" xfId="0" applyNumberFormat="1" applyFont="1" applyFill="1" applyBorder="1" applyAlignment="1" applyProtection="1">
      <alignment horizontal="center" vertical="center"/>
      <protection locked="0"/>
    </xf>
    <xf numFmtId="166" fontId="17" fillId="8" borderId="2" xfId="0" applyNumberFormat="1" applyFont="1" applyFill="1" applyBorder="1" applyAlignment="1" applyProtection="1">
      <alignment horizontal="center" vertical="center"/>
      <protection locked="0"/>
    </xf>
    <xf numFmtId="165" fontId="17" fillId="8" borderId="2" xfId="0" applyNumberFormat="1" applyFont="1" applyFill="1" applyBorder="1" applyAlignment="1" applyProtection="1">
      <alignment horizontal="center" vertical="center"/>
      <protection locked="0"/>
    </xf>
    <xf numFmtId="164" fontId="17" fillId="8" borderId="2" xfId="0" applyNumberFormat="1" applyFont="1" applyFill="1" applyBorder="1" applyAlignment="1" applyProtection="1">
      <alignment horizontal="center" vertical="center"/>
      <protection locked="0"/>
    </xf>
    <xf numFmtId="1" fontId="4" fillId="2" borderId="0" xfId="0" applyNumberFormat="1" applyFont="1" applyFill="1" applyAlignment="1">
      <alignment horizontal="center"/>
    </xf>
    <xf numFmtId="2" fontId="2" fillId="7" borderId="12" xfId="0" applyNumberFormat="1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 horizontal="center" vertical="center" wrapText="1"/>
    </xf>
    <xf numFmtId="2" fontId="0" fillId="15" borderId="2" xfId="0" applyNumberFormat="1" applyFill="1" applyBorder="1" applyAlignment="1">
      <alignment horizontal="center"/>
    </xf>
    <xf numFmtId="2" fontId="23" fillId="16" borderId="0" xfId="0" applyNumberFormat="1" applyFont="1" applyFill="1" applyProtection="1"/>
    <xf numFmtId="2" fontId="23" fillId="11" borderId="0" xfId="0" applyNumberFormat="1" applyFont="1" applyFill="1" applyProtection="1"/>
    <xf numFmtId="2" fontId="23" fillId="11" borderId="0" xfId="0" applyNumberFormat="1" applyFont="1" applyFill="1" applyAlignment="1" applyProtection="1">
      <alignment horizontal="center"/>
    </xf>
    <xf numFmtId="2" fontId="6" fillId="0" borderId="0" xfId="0" applyNumberFormat="1" applyFont="1"/>
    <xf numFmtId="2" fontId="18" fillId="0" borderId="0" xfId="0" applyNumberFormat="1" applyFont="1" applyAlignment="1" applyProtection="1">
      <alignment vertical="top"/>
    </xf>
    <xf numFmtId="2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0" fillId="0" borderId="0" xfId="0" applyProtection="1"/>
    <xf numFmtId="1" fontId="10" fillId="12" borderId="2" xfId="0" applyNumberFormat="1" applyFont="1" applyFill="1" applyBorder="1" applyAlignment="1" applyProtection="1">
      <alignment horizontal="center"/>
    </xf>
    <xf numFmtId="0" fontId="0" fillId="12" borderId="2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2" fontId="19" fillId="4" borderId="4" xfId="0" applyNumberFormat="1" applyFont="1" applyFill="1" applyBorder="1" applyAlignment="1" applyProtection="1">
      <alignment horizontal="center" vertical="center" wrapText="1"/>
    </xf>
    <xf numFmtId="0" fontId="19" fillId="4" borderId="4" xfId="0" applyFont="1" applyFill="1" applyBorder="1" applyAlignment="1" applyProtection="1">
      <alignment horizontal="center" vertical="center" wrapText="1"/>
    </xf>
    <xf numFmtId="1" fontId="19" fillId="4" borderId="4" xfId="0" applyNumberFormat="1" applyFont="1" applyFill="1" applyBorder="1" applyAlignment="1" applyProtection="1">
      <alignment horizontal="center" vertical="center" wrapText="1"/>
    </xf>
    <xf numFmtId="2" fontId="2" fillId="8" borderId="2" xfId="0" applyNumberFormat="1" applyFont="1" applyFill="1" applyBorder="1" applyAlignment="1" applyProtection="1">
      <alignment horizontal="right" vertical="center"/>
    </xf>
    <xf numFmtId="1" fontId="11" fillId="0" borderId="4" xfId="0" applyNumberFormat="1" applyFont="1" applyBorder="1" applyAlignment="1" applyProtection="1">
      <alignment horizontal="left"/>
    </xf>
    <xf numFmtId="2" fontId="0" fillId="0" borderId="4" xfId="0" applyNumberFormat="1" applyBorder="1" applyAlignment="1" applyProtection="1">
      <alignment horizontal="center"/>
    </xf>
    <xf numFmtId="164" fontId="0" fillId="0" borderId="4" xfId="0" applyNumberFormat="1" applyBorder="1" applyAlignment="1" applyProtection="1">
      <alignment horizontal="center"/>
    </xf>
    <xf numFmtId="166" fontId="0" fillId="0" borderId="4" xfId="0" applyNumberFormat="1" applyBorder="1" applyAlignment="1" applyProtection="1">
      <alignment horizontal="center"/>
    </xf>
    <xf numFmtId="1" fontId="0" fillId="0" borderId="4" xfId="0" applyNumberFormat="1" applyBorder="1" applyAlignment="1" applyProtection="1">
      <alignment horizontal="center"/>
    </xf>
    <xf numFmtId="1" fontId="0" fillId="0" borderId="4" xfId="0" applyNumberFormat="1" applyBorder="1" applyProtection="1"/>
    <xf numFmtId="2" fontId="0" fillId="0" borderId="4" xfId="0" applyNumberFormat="1" applyBorder="1" applyProtection="1"/>
    <xf numFmtId="2" fontId="26" fillId="12" borderId="2" xfId="0" applyNumberFormat="1" applyFont="1" applyFill="1" applyBorder="1" applyAlignment="1" applyProtection="1">
      <alignment horizontal="right" vertical="center"/>
    </xf>
    <xf numFmtId="2" fontId="25" fillId="12" borderId="2" xfId="0" applyNumberFormat="1" applyFont="1" applyFill="1" applyBorder="1" applyAlignment="1" applyProtection="1">
      <alignment horizontal="center" vertical="center"/>
    </xf>
    <xf numFmtId="2" fontId="28" fillId="12" borderId="2" xfId="0" applyNumberFormat="1" applyFont="1" applyFill="1" applyBorder="1" applyAlignment="1" applyProtection="1">
      <alignment horizontal="right" vertical="center"/>
    </xf>
    <xf numFmtId="2" fontId="28" fillId="12" borderId="2" xfId="0" applyNumberFormat="1" applyFont="1" applyFill="1" applyBorder="1" applyAlignment="1" applyProtection="1">
      <alignment horizontal="center" vertical="center"/>
    </xf>
    <xf numFmtId="2" fontId="2" fillId="12" borderId="2" xfId="0" applyNumberFormat="1" applyFont="1" applyFill="1" applyBorder="1" applyAlignment="1" applyProtection="1">
      <alignment horizontal="right"/>
    </xf>
    <xf numFmtId="166" fontId="2" fillId="12" borderId="2" xfId="0" applyNumberFormat="1" applyFont="1" applyFill="1" applyBorder="1" applyAlignment="1" applyProtection="1">
      <alignment horizontal="center"/>
    </xf>
    <xf numFmtId="2" fontId="2" fillId="12" borderId="2" xfId="0" applyNumberFormat="1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2" fontId="2" fillId="0" borderId="0" xfId="0" applyNumberFormat="1" applyFont="1" applyFill="1" applyAlignment="1" applyProtection="1">
      <alignment horizontal="center"/>
    </xf>
    <xf numFmtId="2" fontId="2" fillId="11" borderId="2" xfId="0" applyNumberFormat="1" applyFont="1" applyFill="1" applyBorder="1" applyAlignment="1" applyProtection="1">
      <alignment horizontal="right" vertical="center"/>
    </xf>
    <xf numFmtId="2" fontId="2" fillId="11" borderId="2" xfId="0" applyNumberFormat="1" applyFont="1" applyFill="1" applyBorder="1" applyAlignment="1" applyProtection="1">
      <alignment horizontal="center" vertical="center"/>
    </xf>
    <xf numFmtId="2" fontId="0" fillId="0" borderId="0" xfId="0" applyNumberFormat="1" applyProtection="1"/>
    <xf numFmtId="1" fontId="10" fillId="3" borderId="0" xfId="0" applyNumberFormat="1" applyFont="1" applyFill="1" applyAlignment="1" applyProtection="1">
      <alignment horizontal="right"/>
    </xf>
    <xf numFmtId="0" fontId="2" fillId="3" borderId="2" xfId="0" applyFont="1" applyFill="1" applyBorder="1" applyAlignment="1" applyProtection="1">
      <alignment horizontal="right" vertical="center" wrapText="1"/>
    </xf>
    <xf numFmtId="2" fontId="2" fillId="3" borderId="2" xfId="0" applyNumberFormat="1" applyFont="1" applyFill="1" applyBorder="1" applyAlignment="1" applyProtection="1">
      <alignment horizontal="center" vertical="center" wrapText="1"/>
    </xf>
    <xf numFmtId="0" fontId="2" fillId="11" borderId="2" xfId="0" applyFont="1" applyFill="1" applyBorder="1" applyAlignment="1" applyProtection="1">
      <alignment horizontal="right" vertical="center" wrapText="1"/>
    </xf>
    <xf numFmtId="0" fontId="2" fillId="11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right"/>
    </xf>
    <xf numFmtId="1" fontId="2" fillId="3" borderId="2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 wrapText="1"/>
    </xf>
    <xf numFmtId="0" fontId="2" fillId="11" borderId="2" xfId="0" applyFont="1" applyFill="1" applyBorder="1" applyAlignment="1" applyProtection="1">
      <alignment horizontal="right"/>
    </xf>
    <xf numFmtId="2" fontId="2" fillId="11" borderId="2" xfId="0" applyNumberFormat="1" applyFont="1" applyFill="1" applyBorder="1" applyAlignment="1" applyProtection="1">
      <alignment horizontal="center"/>
    </xf>
    <xf numFmtId="1" fontId="2" fillId="3" borderId="2" xfId="0" applyNumberFormat="1" applyFont="1" applyFill="1" applyBorder="1" applyAlignment="1" applyProtection="1">
      <alignment horizontal="center" vertical="center" wrapText="1"/>
    </xf>
    <xf numFmtId="1" fontId="2" fillId="11" borderId="2" xfId="0" applyNumberFormat="1" applyFont="1" applyFill="1" applyBorder="1" applyAlignment="1" applyProtection="1">
      <alignment horizontal="center" vertical="center" wrapText="1"/>
    </xf>
    <xf numFmtId="2" fontId="7" fillId="11" borderId="2" xfId="0" applyNumberFormat="1" applyFont="1" applyFill="1" applyBorder="1" applyAlignment="1" applyProtection="1">
      <alignment horizontal="right" vertical="center" wrapText="1"/>
    </xf>
    <xf numFmtId="2" fontId="2" fillId="11" borderId="2" xfId="0" applyNumberFormat="1" applyFont="1" applyFill="1" applyBorder="1" applyAlignment="1" applyProtection="1">
      <alignment horizontal="center" vertical="center" wrapText="1"/>
    </xf>
    <xf numFmtId="2" fontId="7" fillId="3" borderId="2" xfId="0" applyNumberFormat="1" applyFont="1" applyFill="1" applyBorder="1" applyAlignment="1" applyProtection="1">
      <alignment horizontal="right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2" fontId="12" fillId="3" borderId="2" xfId="0" applyNumberFormat="1" applyFont="1" applyFill="1" applyBorder="1" applyAlignment="1" applyProtection="1">
      <alignment horizontal="right" vertical="center" wrapText="1"/>
    </xf>
    <xf numFmtId="0" fontId="12" fillId="3" borderId="2" xfId="0" applyNumberFormat="1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right" vertical="center" wrapText="1"/>
    </xf>
    <xf numFmtId="2" fontId="23" fillId="16" borderId="0" xfId="0" applyNumberFormat="1" applyFont="1" applyFill="1" applyAlignment="1" applyProtection="1">
      <alignment horizontal="center"/>
    </xf>
    <xf numFmtId="2" fontId="7" fillId="0" borderId="0" xfId="0" applyNumberFormat="1" applyFont="1" applyAlignment="1" applyProtection="1">
      <alignment horizontal="center"/>
    </xf>
    <xf numFmtId="166" fontId="28" fillId="12" borderId="2" xfId="0" applyNumberFormat="1" applyFont="1" applyFill="1" applyBorder="1" applyAlignment="1" applyProtection="1">
      <alignment horizontal="center" vertical="center"/>
    </xf>
    <xf numFmtId="0" fontId="15" fillId="8" borderId="4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164" fontId="17" fillId="0" borderId="3" xfId="0" applyNumberFormat="1" applyFont="1" applyFill="1" applyBorder="1" applyAlignment="1" applyProtection="1">
      <alignment horizontal="center" vertical="center"/>
    </xf>
    <xf numFmtId="0" fontId="27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/>
    </xf>
    <xf numFmtId="2" fontId="2" fillId="0" borderId="3" xfId="0" applyNumberFormat="1" applyFont="1" applyFill="1" applyBorder="1" applyAlignment="1" applyProtection="1">
      <alignment horizontal="center"/>
    </xf>
    <xf numFmtId="165" fontId="17" fillId="0" borderId="3" xfId="0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166" fontId="2" fillId="3" borderId="2" xfId="0" applyNumberFormat="1" applyFont="1" applyFill="1" applyBorder="1" applyAlignment="1" applyProtection="1">
      <alignment horizontal="center" vertical="center" wrapText="1"/>
    </xf>
    <xf numFmtId="164" fontId="5" fillId="2" borderId="0" xfId="0" applyNumberFormat="1" applyFont="1" applyFill="1" applyAlignment="1">
      <alignment horizontal="center"/>
    </xf>
    <xf numFmtId="2" fontId="23" fillId="11" borderId="0" xfId="0" applyNumberFormat="1" applyFont="1" applyFill="1" applyAlignment="1" applyProtection="1">
      <alignment horizontal="center"/>
    </xf>
    <xf numFmtId="0" fontId="2" fillId="15" borderId="2" xfId="0" applyFont="1" applyFill="1" applyBorder="1" applyAlignment="1">
      <alignment horizontal="center"/>
    </xf>
    <xf numFmtId="0" fontId="2" fillId="11" borderId="21" xfId="0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 vertical="center"/>
    </xf>
    <xf numFmtId="0" fontId="2" fillId="11" borderId="23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center" vertical="center" wrapText="1"/>
    </xf>
    <xf numFmtId="0" fontId="2" fillId="11" borderId="24" xfId="0" applyFont="1" applyFill="1" applyBorder="1" applyAlignment="1">
      <alignment horizontal="center" vertical="center" wrapText="1"/>
    </xf>
    <xf numFmtId="0" fontId="2" fillId="11" borderId="25" xfId="0" applyFont="1" applyFill="1" applyBorder="1" applyAlignment="1">
      <alignment horizontal="center" vertical="center" wrapText="1"/>
    </xf>
    <xf numFmtId="0" fontId="2" fillId="3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4" borderId="0" xfId="0" applyNumberFormat="1" applyFont="1" applyFill="1" applyAlignment="1">
      <alignment vertical="center"/>
    </xf>
    <xf numFmtId="0" fontId="2" fillId="5" borderId="0" xfId="0" applyNumberFormat="1" applyFont="1" applyFill="1" applyAlignment="1">
      <alignment vertical="center"/>
    </xf>
    <xf numFmtId="0" fontId="2" fillId="6" borderId="0" xfId="0" applyNumberFormat="1" applyFont="1" applyFill="1" applyAlignment="1">
      <alignment vertical="center"/>
    </xf>
    <xf numFmtId="0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1">
    <dxf>
      <font>
        <u val="none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69730448489678"/>
          <c:y val="8.9109198088122968E-2"/>
          <c:w val="0.66262756989340654"/>
          <c:h val="0.67656983733574838"/>
        </c:manualLayout>
      </c:layout>
      <c:scatterChart>
        <c:scatterStyle val="lineMarker"/>
        <c:varyColors val="0"/>
        <c:ser>
          <c:idx val="1"/>
          <c:order val="1"/>
          <c:tx>
            <c:strRef>
              <c:f>Calculo!$I$2</c:f>
              <c:strCache>
                <c:ptCount val="1"/>
                <c:pt idx="0">
                  <c:v>Prob.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Calculo!$F$3:$F$27</c:f>
              <c:numCache>
                <c:formatCode>0.00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Calculo!$I$3:$I$27</c:f>
              <c:numCache>
                <c:formatCode>0.000</c:formatCode>
                <c:ptCount val="25"/>
                <c:pt idx="0">
                  <c:v>4.1861719486740279E-2</c:v>
                </c:pt>
                <c:pt idx="1">
                  <c:v>7.5652106891644866E-2</c:v>
                </c:pt>
                <c:pt idx="2">
                  <c:v>0.10633539035273337</c:v>
                </c:pt>
                <c:pt idx="3">
                  <c:v>0.12535583782081189</c:v>
                </c:pt>
                <c:pt idx="4">
                  <c:v>0.13119509958791398</c:v>
                </c:pt>
                <c:pt idx="5">
                  <c:v>0.12497291106228225</c:v>
                </c:pt>
                <c:pt idx="6">
                  <c:v>0.10976785989078686</c:v>
                </c:pt>
                <c:pt idx="7">
                  <c:v>8.9569137869636162E-2</c:v>
                </c:pt>
                <c:pt idx="8">
                  <c:v>6.8216896306200758E-2</c:v>
                </c:pt>
                <c:pt idx="9">
                  <c:v>4.8640437938737957E-2</c:v>
                </c:pt>
                <c:pt idx="10">
                  <c:v>3.2536217475625295E-2</c:v>
                </c:pt>
                <c:pt idx="11">
                  <c:v>2.044642792801088E-2</c:v>
                </c:pt>
                <c:pt idx="12">
                  <c:v>1.2083188280540891E-2</c:v>
                </c:pt>
                <c:pt idx="13">
                  <c:v>6.7199418910621755E-3</c:v>
                </c:pt>
                <c:pt idx="14">
                  <c:v>3.5187286838430643E-3</c:v>
                </c:pt>
                <c:pt idx="15">
                  <c:v>1.735376736816896E-3</c:v>
                </c:pt>
                <c:pt idx="16">
                  <c:v>8.0629324011149972E-4</c:v>
                </c:pt>
                <c:pt idx="17">
                  <c:v>3.529808810243118E-4</c:v>
                </c:pt>
                <c:pt idx="18">
                  <c:v>1.4561587127059905E-4</c:v>
                </c:pt>
                <c:pt idx="19">
                  <c:v>5.6608962660575912E-5</c:v>
                </c:pt>
                <c:pt idx="20">
                  <c:v>2.0738821851162825E-5</c:v>
                </c:pt>
                <c:pt idx="21">
                  <c:v>7.1597232924602849E-6</c:v>
                </c:pt>
                <c:pt idx="22">
                  <c:v>2.3291780392176165E-6</c:v>
                </c:pt>
                <c:pt idx="23">
                  <c:v>7.1396462375528102E-7</c:v>
                </c:pt>
                <c:pt idx="24">
                  <c:v>2.061984573087372E-7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468496"/>
        <c:axId val="282469056"/>
      </c:scatterChart>
      <c:scatterChart>
        <c:scatterStyle val="lineMarker"/>
        <c:varyColors val="0"/>
        <c:ser>
          <c:idx val="0"/>
          <c:order val="0"/>
          <c:tx>
            <c:strRef>
              <c:f>Calculo!$J$2</c:f>
              <c:strCache>
                <c:ptCount val="1"/>
                <c:pt idx="0">
                  <c:v>horas/año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Calculo!$F$3:$F$27</c:f>
              <c:numCache>
                <c:formatCode>0.00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Calculo!$J$3:$J$27</c:f>
              <c:numCache>
                <c:formatCode>0</c:formatCode>
                <c:ptCount val="25"/>
                <c:pt idx="0">
                  <c:v>366.70866270384482</c:v>
                </c:pt>
                <c:pt idx="1">
                  <c:v>662.71245637080904</c:v>
                </c:pt>
                <c:pt idx="2">
                  <c:v>931.49801948994434</c:v>
                </c:pt>
                <c:pt idx="3">
                  <c:v>1098.117139310312</c:v>
                </c:pt>
                <c:pt idx="4">
                  <c:v>1149.2690723901264</c:v>
                </c:pt>
                <c:pt idx="5">
                  <c:v>1094.7627009055925</c:v>
                </c:pt>
                <c:pt idx="6">
                  <c:v>961.56645264329291</c:v>
                </c:pt>
                <c:pt idx="7">
                  <c:v>784.62564773801273</c:v>
                </c:pt>
                <c:pt idx="8">
                  <c:v>597.5800116423186</c:v>
                </c:pt>
                <c:pt idx="9">
                  <c:v>426.09023634334449</c:v>
                </c:pt>
                <c:pt idx="10">
                  <c:v>285.01726508647761</c:v>
                </c:pt>
                <c:pt idx="11">
                  <c:v>179.11070864937531</c:v>
                </c:pt>
                <c:pt idx="12">
                  <c:v>105.8487293375382</c:v>
                </c:pt>
                <c:pt idx="13">
                  <c:v>58.866690965704656</c:v>
                </c:pt>
                <c:pt idx="14">
                  <c:v>30.824063270465242</c:v>
                </c:pt>
                <c:pt idx="15">
                  <c:v>15.201900214516009</c:v>
                </c:pt>
                <c:pt idx="16">
                  <c:v>7.0631287833767376</c:v>
                </c:pt>
                <c:pt idx="17">
                  <c:v>3.0921125177729714</c:v>
                </c:pt>
                <c:pt idx="18">
                  <c:v>1.2755950323304477</c:v>
                </c:pt>
                <c:pt idx="19">
                  <c:v>0.49589451290664499</c:v>
                </c:pt>
                <c:pt idx="20">
                  <c:v>0.18167207941618635</c:v>
                </c:pt>
                <c:pt idx="21">
                  <c:v>6.2719176041952096E-2</c:v>
                </c:pt>
                <c:pt idx="22">
                  <c:v>2.040359962354632E-2</c:v>
                </c:pt>
                <c:pt idx="23">
                  <c:v>6.2543301040962618E-3</c:v>
                </c:pt>
                <c:pt idx="24">
                  <c:v>1.8062984860245379E-3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469616"/>
        <c:axId val="282470176"/>
      </c:scatterChart>
      <c:valAx>
        <c:axId val="282468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viento en m/s</a:t>
                </a:r>
              </a:p>
            </c:rich>
          </c:tx>
          <c:layout>
            <c:manualLayout>
              <c:xMode val="edge"/>
              <c:yMode val="edge"/>
              <c:x val="0.40202107888687827"/>
              <c:y val="0.871289896014906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2469056"/>
        <c:crosses val="autoZero"/>
        <c:crossBetween val="midCat"/>
      </c:valAx>
      <c:valAx>
        <c:axId val="282469056"/>
        <c:scaling>
          <c:orientation val="minMax"/>
          <c:max val="0.14000000000000001"/>
        </c:scaling>
        <c:delete val="0"/>
        <c:axPos val="l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probabilidad</a:t>
                </a:r>
              </a:p>
            </c:rich>
          </c:tx>
          <c:layout>
            <c:manualLayout>
              <c:xMode val="edge"/>
              <c:yMode val="edge"/>
              <c:x val="3.2323201447645132E-2"/>
              <c:y val="0.2739285928953537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2468496"/>
        <c:crosses val="autoZero"/>
        <c:crossBetween val="midCat"/>
      </c:valAx>
      <c:valAx>
        <c:axId val="282469616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282470176"/>
        <c:crosses val="autoZero"/>
        <c:crossBetween val="midCat"/>
      </c:valAx>
      <c:valAx>
        <c:axId val="282470176"/>
        <c:scaling>
          <c:orientation val="minMax"/>
          <c:max val="1226.4000000000001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horas/año</a:t>
                </a:r>
              </a:p>
            </c:rich>
          </c:tx>
          <c:layout>
            <c:manualLayout>
              <c:xMode val="edge"/>
              <c:yMode val="edge"/>
              <c:x val="0.92121399227270517"/>
              <c:y val="0.3036314640059305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2469616"/>
        <c:crosses val="max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28718285214348"/>
          <c:y val="5.1400554097404488E-2"/>
          <c:w val="0.83244203849518805"/>
          <c:h val="0.80661761028876933"/>
        </c:manualLayout>
      </c:layout>
      <c:scatterChart>
        <c:scatterStyle val="lineMarker"/>
        <c:varyColors val="0"/>
        <c:ser>
          <c:idx val="4"/>
          <c:order val="0"/>
          <c:tx>
            <c:strRef>
              <c:f>'Ejemplo Rugosidad'!$H$1</c:f>
              <c:strCache>
                <c:ptCount val="1"/>
                <c:pt idx="0">
                  <c:v>Viento medido (m/s)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'Ejemplo Rugosidad'!$G$2:$G$3</c:f>
              <c:numCache>
                <c:formatCode>General</c:formatCode>
                <c:ptCount val="2"/>
                <c:pt idx="0">
                  <c:v>5</c:v>
                </c:pt>
                <c:pt idx="1">
                  <c:v>250</c:v>
                </c:pt>
              </c:numCache>
            </c:numRef>
          </c:xVal>
          <c:yVal>
            <c:numRef>
              <c:f>'Ejemplo Rugosidad'!$H$2:$H$3</c:f>
              <c:numCache>
                <c:formatCode>General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'Ejemplo Rugosidad'!$D$6</c:f>
              <c:strCache>
                <c:ptCount val="1"/>
                <c:pt idx="0">
                  <c:v>Viento estimado log. (m/s) [Z0 0.01]</c:v>
                </c:pt>
              </c:strCache>
            </c:strRef>
          </c:tx>
          <c:marker>
            <c:symbol val="none"/>
          </c:marker>
          <c:xVal>
            <c:numRef>
              <c:f>'Ejemplo Rugosidad'!$C$7:$C$56</c:f>
              <c:numCache>
                <c:formatCode>General</c:formatCode>
                <c:ptCount val="5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</c:numCache>
            </c:numRef>
          </c:xVal>
          <c:yVal>
            <c:numRef>
              <c:f>'Ejemplo Rugosidad'!$D$7:$D$56</c:f>
              <c:numCache>
                <c:formatCode>0.0</c:formatCode>
                <c:ptCount val="50"/>
                <c:pt idx="0">
                  <c:v>7.9429595503388946</c:v>
                </c:pt>
                <c:pt idx="1">
                  <c:v>8.8288786510166855</c:v>
                </c:pt>
                <c:pt idx="2">
                  <c:v>9.3471081035858017</c:v>
                </c:pt>
                <c:pt idx="3">
                  <c:v>9.7147977516944746</c:v>
                </c:pt>
                <c:pt idx="4">
                  <c:v>10</c:v>
                </c:pt>
                <c:pt idx="5">
                  <c:v>10.233027204263593</c:v>
                </c:pt>
                <c:pt idx="6">
                  <c:v>10.430048898171535</c:v>
                </c:pt>
                <c:pt idx="7">
                  <c:v>10.600716852372264</c:v>
                </c:pt>
                <c:pt idx="8">
                  <c:v>10.751256656832709</c:v>
                </c:pt>
                <c:pt idx="9">
                  <c:v>10.885919100677789</c:v>
                </c:pt>
                <c:pt idx="10">
                  <c:v>11.007736098778357</c:v>
                </c:pt>
                <c:pt idx="11">
                  <c:v>11.11894630494138</c:v>
                </c:pt>
                <c:pt idx="12">
                  <c:v>11.221249777546825</c:v>
                </c:pt>
                <c:pt idx="13">
                  <c:v>11.315967998849324</c:v>
                </c:pt>
                <c:pt idx="14">
                  <c:v>11.404148553246907</c:v>
                </c:pt>
                <c:pt idx="15">
                  <c:v>11.486635953050055</c:v>
                </c:pt>
                <c:pt idx="16">
                  <c:v>11.56412095471328</c:v>
                </c:pt>
                <c:pt idx="17">
                  <c:v>11.637175757510498</c:v>
                </c:pt>
                <c:pt idx="18">
                  <c:v>11.706279672793274</c:v>
                </c:pt>
                <c:pt idx="19">
                  <c:v>11.77183820135558</c:v>
                </c:pt>
                <c:pt idx="20">
                  <c:v>11.834197451418442</c:v>
                </c:pt>
                <c:pt idx="21">
                  <c:v>11.89365519945615</c:v>
                </c:pt>
                <c:pt idx="22">
                  <c:v>11.950469490309187</c:v>
                </c:pt>
                <c:pt idx="23">
                  <c:v>12.004865405619171</c:v>
                </c:pt>
                <c:pt idx="24">
                  <c:v>12.057040449661105</c:v>
                </c:pt>
                <c:pt idx="25">
                  <c:v>12.107168878224615</c:v>
                </c:pt>
                <c:pt idx="26">
                  <c:v>12.155405210079618</c:v>
                </c:pt>
                <c:pt idx="27">
                  <c:v>12.201887099527113</c:v>
                </c:pt>
                <c:pt idx="28">
                  <c:v>12.246737704652109</c:v>
                </c:pt>
                <c:pt idx="29">
                  <c:v>12.290067653924698</c:v>
                </c:pt>
                <c:pt idx="30">
                  <c:v>12.331976690218058</c:v>
                </c:pt>
                <c:pt idx="31">
                  <c:v>12.372555053727844</c:v>
                </c:pt>
                <c:pt idx="32">
                  <c:v>12.411884652025268</c:v>
                </c:pt>
                <c:pt idx="33">
                  <c:v>12.450040055391069</c:v>
                </c:pt>
                <c:pt idx="34">
                  <c:v>12.487089347832638</c:v>
                </c:pt>
                <c:pt idx="35">
                  <c:v>12.523094858188289</c:v>
                </c:pt>
                <c:pt idx="36">
                  <c:v>12.558113791039778</c:v>
                </c:pt>
                <c:pt idx="37">
                  <c:v>12.592198773471065</c:v>
                </c:pt>
                <c:pt idx="38">
                  <c:v>12.625398330793733</c:v>
                </c:pt>
                <c:pt idx="39">
                  <c:v>12.657757302033369</c:v>
                </c:pt>
                <c:pt idx="40">
                  <c:v>12.689317204104638</c:v>
                </c:pt>
                <c:pt idx="41">
                  <c:v>12.720116552096231</c:v>
                </c:pt>
                <c:pt idx="42">
                  <c:v>12.750191141864162</c:v>
                </c:pt>
                <c:pt idx="43">
                  <c:v>12.779574300133939</c:v>
                </c:pt>
                <c:pt idx="44">
                  <c:v>12.808297106493816</c:v>
                </c:pt>
                <c:pt idx="45">
                  <c:v>12.836388590986976</c:v>
                </c:pt>
                <c:pt idx="46">
                  <c:v>12.863875910452023</c:v>
                </c:pt>
                <c:pt idx="47">
                  <c:v>12.890784506296962</c:v>
                </c:pt>
                <c:pt idx="48">
                  <c:v>12.917138246004173</c:v>
                </c:pt>
                <c:pt idx="49">
                  <c:v>12.942959550338895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'Ejemplo Rugosidad'!$K$6</c:f>
              <c:strCache>
                <c:ptCount val="1"/>
                <c:pt idx="0">
                  <c:v>Viento estimado exp. (m/s) [Z0 0.01]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marker>
            <c:symbol val="none"/>
          </c:marker>
          <c:xVal>
            <c:numRef>
              <c:f>'Ejemplo Rugosidad'!$C$7:$C$56</c:f>
              <c:numCache>
                <c:formatCode>General</c:formatCode>
                <c:ptCount val="5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</c:numCache>
            </c:numRef>
          </c:xVal>
          <c:yVal>
            <c:numRef>
              <c:f>'Ejemplo Rugosidad'!$K$7:$K$56</c:f>
              <c:numCache>
                <c:formatCode>0.0</c:formatCode>
                <c:ptCount val="50"/>
                <c:pt idx="0">
                  <c:v>8.3505553597555426</c:v>
                </c:pt>
                <c:pt idx="1">
                  <c:v>9.0246572984236693</c:v>
                </c:pt>
                <c:pt idx="2">
                  <c:v>9.4439339291476045</c:v>
                </c:pt>
                <c:pt idx="3">
                  <c:v>9.7531763871062864</c:v>
                </c:pt>
                <c:pt idx="4">
                  <c:v>10</c:v>
                </c:pt>
                <c:pt idx="5">
                  <c:v>10.206299292411117</c:v>
                </c:pt>
                <c:pt idx="6">
                  <c:v>10.384039703651791</c:v>
                </c:pt>
                <c:pt idx="7">
                  <c:v>10.54050547211615</c:v>
                </c:pt>
                <c:pt idx="8">
                  <c:v>10.680473838654514</c:v>
                </c:pt>
                <c:pt idx="9">
                  <c:v>10.807254020393515</c:v>
                </c:pt>
                <c:pt idx="10">
                  <c:v>10.923236589209013</c:v>
                </c:pt>
                <c:pt idx="11">
                  <c:v>11.030206906124951</c:v>
                </c:pt>
                <c:pt idx="12">
                  <c:v>11.129534882006585</c:v>
                </c:pt>
                <c:pt idx="13">
                  <c:v>11.22229548352167</c:v>
                </c:pt>
                <c:pt idx="14">
                  <c:v>11.309348327491442</c:v>
                </c:pt>
                <c:pt idx="15">
                  <c:v>11.391392014050712</c:v>
                </c:pt>
                <c:pt idx="16">
                  <c:v>11.469002270327049</c:v>
                </c:pt>
                <c:pt idx="17">
                  <c:v>11.542659383250676</c:v>
                </c:pt>
                <c:pt idx="18">
                  <c:v>11.612768348560717</c:v>
                </c:pt>
                <c:pt idx="19">
                  <c:v>11.679673946131178</c:v>
                </c:pt>
                <c:pt idx="20">
                  <c:v>11.743672205509911</c:v>
                </c:pt>
                <c:pt idx="21">
                  <c:v>11.805019254443865</c:v>
                </c:pt>
                <c:pt idx="22">
                  <c:v>11.863938237954702</c:v>
                </c:pt>
                <c:pt idx="23">
                  <c:v>11.920624793199119</c:v>
                </c:pt>
                <c:pt idx="24">
                  <c:v>11.97525142841846</c:v>
                </c:pt>
                <c:pt idx="25">
                  <c:v>12.027971059867554</c:v>
                </c:pt>
                <c:pt idx="26">
                  <c:v>12.078919894400354</c:v>
                </c:pt>
                <c:pt idx="27">
                  <c:v>12.128219798233353</c:v>
                </c:pt>
                <c:pt idx="28">
                  <c:v>12.175980258343724</c:v>
                </c:pt>
                <c:pt idx="29">
                  <c:v>12.222300018031255</c:v>
                </c:pt>
                <c:pt idx="30">
                  <c:v>12.267268449710485</c:v>
                </c:pt>
                <c:pt idx="31">
                  <c:v>12.310966714172814</c:v>
                </c:pt>
                <c:pt idx="32">
                  <c:v>12.353468745096428</c:v>
                </c:pt>
                <c:pt idx="33">
                  <c:v>12.394842089589435</c:v>
                </c:pt>
                <c:pt idx="34">
                  <c:v>12.435148629391012</c:v>
                </c:pt>
                <c:pt idx="35">
                  <c:v>12.47444520256688</c:v>
                </c:pt>
                <c:pt idx="36">
                  <c:v>12.512784141783897</c:v>
                </c:pt>
                <c:pt idx="37">
                  <c:v>12.55021374228814</c:v>
                </c:pt>
                <c:pt idx="38">
                  <c:v>12.586778670357885</c:v>
                </c:pt>
                <c:pt idx="39">
                  <c:v>12.622520321121156</c:v>
                </c:pt>
                <c:pt idx="40">
                  <c:v>12.657477133112563</c:v>
                </c:pt>
                <c:pt idx="41">
                  <c:v>12.691684865718056</c:v>
                </c:pt>
                <c:pt idx="42">
                  <c:v>12.725176844657884</c:v>
                </c:pt>
                <c:pt idx="43">
                  <c:v>12.757984179841131</c:v>
                </c:pt>
                <c:pt idx="44">
                  <c:v>12.790135959253348</c:v>
                </c:pt>
                <c:pt idx="45">
                  <c:v>12.821659421983631</c:v>
                </c:pt>
                <c:pt idx="46">
                  <c:v>12.852580113036575</c:v>
                </c:pt>
                <c:pt idx="47">
                  <c:v>12.88292202219038</c:v>
                </c:pt>
                <c:pt idx="48">
                  <c:v>12.912707708840742</c:v>
                </c:pt>
                <c:pt idx="49">
                  <c:v>12.941958414499862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'Ejemplo Rugosidad'!$E$6</c:f>
              <c:strCache>
                <c:ptCount val="1"/>
                <c:pt idx="0">
                  <c:v>Viento estimado log. (m/s) [Z0 0.3]</c:v>
                </c:pt>
              </c:strCache>
            </c:strRef>
          </c:tx>
          <c:marker>
            <c:symbol val="none"/>
          </c:marker>
          <c:xVal>
            <c:numRef>
              <c:f>'Ejemplo Rugosidad'!$C$7:$C$56</c:f>
              <c:numCache>
                <c:formatCode>General</c:formatCode>
                <c:ptCount val="5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</c:numCache>
            </c:numRef>
          </c:xVal>
          <c:yVal>
            <c:numRef>
              <c:f>'Ejemplo Rugosidad'!$E$7:$E$56</c:f>
              <c:numCache>
                <c:formatCode>0.0</c:formatCode>
                <c:ptCount val="50"/>
                <c:pt idx="0">
                  <c:v>6.3610829866285803</c:v>
                </c:pt>
                <c:pt idx="1">
                  <c:v>7.9282792410620955</c:v>
                </c:pt>
                <c:pt idx="2">
                  <c:v>8.8450302811763528</c:v>
                </c:pt>
                <c:pt idx="3">
                  <c:v>9.4954754954956098</c:v>
                </c:pt>
                <c:pt idx="4">
                  <c:v>10</c:v>
                </c:pt>
                <c:pt idx="5">
                  <c:v>10.412226535609866</c:v>
                </c:pt>
                <c:pt idx="6">
                  <c:v>10.760759105342748</c:v>
                </c:pt>
                <c:pt idx="7">
                  <c:v>11.062671749929123</c:v>
                </c:pt>
                <c:pt idx="8">
                  <c:v>11.328977575724124</c:v>
                </c:pt>
                <c:pt idx="9">
                  <c:v>11.567196254433515</c:v>
                </c:pt>
                <c:pt idx="10">
                  <c:v>11.782691261825823</c:v>
                </c:pt>
                <c:pt idx="11">
                  <c:v>11.979422790043381</c:v>
                </c:pt>
                <c:pt idx="12">
                  <c:v>12.160398252656309</c:v>
                </c:pt>
                <c:pt idx="13">
                  <c:v>12.327955359776261</c:v>
                </c:pt>
                <c:pt idx="14">
                  <c:v>12.483947294547772</c:v>
                </c:pt>
                <c:pt idx="15">
                  <c:v>12.629868004362637</c:v>
                </c:pt>
                <c:pt idx="16">
                  <c:v>12.766939441572282</c:v>
                </c:pt>
                <c:pt idx="17">
                  <c:v>12.89617383015764</c:v>
                </c:pt>
                <c:pt idx="18">
                  <c:v>13.01841907480244</c:v>
                </c:pt>
                <c:pt idx="19">
                  <c:v>13.134392508867027</c:v>
                </c:pt>
                <c:pt idx="20">
                  <c:v>13.24470639989052</c:v>
                </c:pt>
                <c:pt idx="21">
                  <c:v>13.349887516259336</c:v>
                </c:pt>
                <c:pt idx="22">
                  <c:v>13.450392340859072</c:v>
                </c:pt>
                <c:pt idx="23">
                  <c:v>13.546619044476895</c:v>
                </c:pt>
                <c:pt idx="24">
                  <c:v>13.638917013371421</c:v>
                </c:pt>
                <c:pt idx="25">
                  <c:v>13.727594507089822</c:v>
                </c:pt>
                <c:pt idx="26">
                  <c:v>13.812924870271896</c:v>
                </c:pt>
                <c:pt idx="27">
                  <c:v>13.895151614209777</c:v>
                </c:pt>
                <c:pt idx="28">
                  <c:v>13.974492606301709</c:v>
                </c:pt>
                <c:pt idx="29">
                  <c:v>14.051143548981285</c:v>
                </c:pt>
                <c:pt idx="30">
                  <c:v>14.125280887995228</c:v>
                </c:pt>
                <c:pt idx="31">
                  <c:v>14.197064258796152</c:v>
                </c:pt>
                <c:pt idx="32">
                  <c:v>14.266638556373593</c:v>
                </c:pt>
                <c:pt idx="33">
                  <c:v>14.334135696005797</c:v>
                </c:pt>
                <c:pt idx="34">
                  <c:v>14.399676118714167</c:v>
                </c:pt>
                <c:pt idx="35">
                  <c:v>14.463370084591151</c:v>
                </c:pt>
                <c:pt idx="36">
                  <c:v>14.525318788888335</c:v>
                </c:pt>
                <c:pt idx="37">
                  <c:v>14.585615329235953</c:v>
                </c:pt>
                <c:pt idx="38">
                  <c:v>14.644345547204082</c:v>
                </c:pt>
                <c:pt idx="39">
                  <c:v>14.701588763300542</c:v>
                </c:pt>
                <c:pt idx="40">
                  <c:v>14.757418421198807</c:v>
                </c:pt>
                <c:pt idx="41">
                  <c:v>14.811902654324035</c:v>
                </c:pt>
                <c:pt idx="42">
                  <c:v>14.8651047857623</c:v>
                </c:pt>
                <c:pt idx="43">
                  <c:v>14.917083770692852</c:v>
                </c:pt>
                <c:pt idx="44">
                  <c:v>14.967894589095545</c:v>
                </c:pt>
                <c:pt idx="45">
                  <c:v>15.017588595292587</c:v>
                </c:pt>
                <c:pt idx="46">
                  <c:v>15.066213829895927</c:v>
                </c:pt>
                <c:pt idx="47">
                  <c:v>15.11381529891041</c:v>
                </c:pt>
                <c:pt idx="48">
                  <c:v>15.160435224056915</c:v>
                </c:pt>
                <c:pt idx="49">
                  <c:v>15.206113267804934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'Ejemplo Rugosidad'!$L$6</c:f>
              <c:strCache>
                <c:ptCount val="1"/>
                <c:pt idx="0">
                  <c:v>Viento estimado exp. (m/s) [Z0 0.3]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marker>
            <c:symbol val="none"/>
          </c:marker>
          <c:xVal>
            <c:numRef>
              <c:f>'Ejemplo Rugosidad'!$C$7:$C$56</c:f>
              <c:numCache>
                <c:formatCode>General</c:formatCode>
                <c:ptCount val="5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</c:numCache>
            </c:numRef>
          </c:xVal>
          <c:yVal>
            <c:numRef>
              <c:f>'Ejemplo Rugosidad'!$L$7:$L$56</c:f>
              <c:numCache>
                <c:formatCode>0.0</c:formatCode>
                <c:ptCount val="50"/>
                <c:pt idx="0">
                  <c:v>7.3160278462306323</c:v>
                </c:pt>
                <c:pt idx="1">
                  <c:v>8.3700639277811781</c:v>
                </c:pt>
                <c:pt idx="2">
                  <c:v>9.0556960410135776</c:v>
                </c:pt>
                <c:pt idx="3">
                  <c:v>9.5759572855151145</c:v>
                </c:pt>
                <c:pt idx="4">
                  <c:v>10</c:v>
                </c:pt>
                <c:pt idx="5">
                  <c:v>10.360369912054203</c:v>
                </c:pt>
                <c:pt idx="6">
                  <c:v>10.675171497405529</c:v>
                </c:pt>
                <c:pt idx="7">
                  <c:v>10.955586328277722</c:v>
                </c:pt>
                <c:pt idx="8">
                  <c:v>11.209037542070043</c:v>
                </c:pt>
                <c:pt idx="9">
                  <c:v>11.440721801098128</c:v>
                </c:pt>
                <c:pt idx="10">
                  <c:v>11.654428374177961</c:v>
                </c:pt>
                <c:pt idx="11">
                  <c:v>11.853010992027963</c:v>
                </c:pt>
                <c:pt idx="12">
                  <c:v>12.038675991890456</c:v>
                </c:pt>
                <c:pt idx="13">
                  <c:v>12.213166728082875</c:v>
                </c:pt>
                <c:pt idx="14">
                  <c:v>12.377886240112193</c:v>
                </c:pt>
                <c:pt idx="15">
                  <c:v>12.533981534973952</c:v>
                </c:pt>
                <c:pt idx="16">
                  <c:v>12.682403112817259</c:v>
                </c:pt>
                <c:pt idx="17">
                  <c:v>12.823948017688808</c:v>
                </c:pt>
                <c:pt idx="18">
                  <c:v>12.959291623479496</c:v>
                </c:pt>
                <c:pt idx="19">
                  <c:v>13.089011533012197</c:v>
                </c:pt>
                <c:pt idx="20">
                  <c:v>13.213605838857376</c:v>
                </c:pt>
                <c:pt idx="21">
                  <c:v>13.333507277979439</c:v>
                </c:pt>
                <c:pt idx="22">
                  <c:v>13.449094346014824</c:v>
                </c:pt>
                <c:pt idx="23">
                  <c:v>13.560700126515005</c:v>
                </c:pt>
                <c:pt idx="24">
                  <c:v>13.668619379506879</c:v>
                </c:pt>
                <c:pt idx="25">
                  <c:v>13.773114287677776</c:v>
                </c:pt>
                <c:pt idx="26">
                  <c:v>13.874419155688976</c:v>
                </c:pt>
                <c:pt idx="27">
                  <c:v>13.972744284642406</c:v>
                </c:pt>
                <c:pt idx="28">
                  <c:v>14.06827919046561</c:v>
                </c:pt>
                <c:pt idx="29">
                  <c:v>14.161195295876407</c:v>
                </c:pt>
                <c:pt idx="30">
                  <c:v>14.251648196535815</c:v>
                </c:pt>
                <c:pt idx="31">
                  <c:v>14.339779580173786</c:v>
                </c:pt>
                <c:pt idx="32">
                  <c:v>14.425718860911047</c:v>
                </c:pt>
                <c:pt idx="33">
                  <c:v>14.509584578312316</c:v>
                </c:pt>
                <c:pt idx="34">
                  <c:v>14.591485600899667</c:v>
                </c:pt>
                <c:pt idx="35">
                  <c:v>14.671522166212148</c:v>
                </c:pt>
                <c:pt idx="36">
                  <c:v>14.749786783495015</c:v>
                </c:pt>
                <c:pt idx="37">
                  <c:v>14.82636502035302</c:v>
                </c:pt>
                <c:pt idx="38">
                  <c:v>14.901336190918988</c:v>
                </c:pt>
                <c:pt idx="39">
                  <c:v>14.974773960055748</c:v>
                </c:pt>
                <c:pt idx="40">
                  <c:v>15.046746875662762</c:v>
                </c:pt>
                <c:pt idx="41">
                  <c:v>15.117318839173308</c:v>
                </c:pt>
                <c:pt idx="42">
                  <c:v>15.186549522708749</c:v>
                </c:pt>
                <c:pt idx="43">
                  <c:v>15.254494740027994</c:v>
                </c:pt>
                <c:pt idx="44">
                  <c:v>15.321206777315874</c:v>
                </c:pt>
                <c:pt idx="45">
                  <c:v>15.386734688947737</c:v>
                </c:pt>
                <c:pt idx="46">
                  <c:v>15.451124562613829</c:v>
                </c:pt>
                <c:pt idx="47">
                  <c:v>15.514419757557436</c:v>
                </c:pt>
                <c:pt idx="48">
                  <c:v>15.576661119152732</c:v>
                </c:pt>
                <c:pt idx="49">
                  <c:v>15.637887172603673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186176"/>
        <c:axId val="284729360"/>
      </c:scatterChart>
      <c:valAx>
        <c:axId val="284186176"/>
        <c:scaling>
          <c:orientation val="minMax"/>
          <c:max val="250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Altura viento estimado en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84729360"/>
        <c:crosses val="autoZero"/>
        <c:crossBetween val="midCat"/>
      </c:valAx>
      <c:valAx>
        <c:axId val="284729360"/>
        <c:scaling>
          <c:orientation val="minMax"/>
          <c:max val="16"/>
          <c:min val="5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ES"/>
                  <a:t>Viento estimado en m/s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2841861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7660298472306347"/>
          <c:y val="0.5344467640918581"/>
          <c:w val="0.56570575913587717"/>
          <c:h val="0.27974947807933204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4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84615384615385"/>
          <c:y val="0.13576158940397351"/>
          <c:w val="0.81983805668016196"/>
          <c:h val="0.64569536423841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Calculo!$L$2:$L$2</c:f>
              <c:strCache>
                <c:ptCount val="1"/>
                <c:pt idx="0">
                  <c:v>BORNAY 3000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Calculo!$F$4:$F$27</c:f>
              <c:numCache>
                <c:formatCode>0.00</c:formatCode>
                <c:ptCount val="2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</c:numCache>
            </c:numRef>
          </c:xVal>
          <c:yVal>
            <c:numRef>
              <c:f>Calculo!$L$4:$L$27</c:f>
              <c:numCache>
                <c:formatCode>0</c:formatCode>
                <c:ptCount val="24"/>
                <c:pt idx="0">
                  <c:v>0.66137566137614201</c:v>
                </c:pt>
                <c:pt idx="1">
                  <c:v>166.20163690476201</c:v>
                </c:pt>
                <c:pt idx="2">
                  <c:v>492.48120300751901</c:v>
                </c:pt>
                <c:pt idx="3">
                  <c:v>837.79761904761995</c:v>
                </c:pt>
                <c:pt idx="4">
                  <c:v>1192.68267651888</c:v>
                </c:pt>
                <c:pt idx="5">
                  <c:v>1550.1700680272099</c:v>
                </c:pt>
                <c:pt idx="6">
                  <c:v>1943.1444991789799</c:v>
                </c:pt>
                <c:pt idx="7">
                  <c:v>2230.9253246753201</c:v>
                </c:pt>
                <c:pt idx="8">
                  <c:v>2498.1398809523798</c:v>
                </c:pt>
                <c:pt idx="9">
                  <c:v>2859.375</c:v>
                </c:pt>
                <c:pt idx="10">
                  <c:v>3086.4661654135398</c:v>
                </c:pt>
                <c:pt idx="11">
                  <c:v>3313.5162601625998</c:v>
                </c:pt>
                <c:pt idx="12">
                  <c:v>3424.78813559322</c:v>
                </c:pt>
                <c:pt idx="13">
                  <c:v>3222.20540758676</c:v>
                </c:pt>
                <c:pt idx="14">
                  <c:v>3029.56989247312</c:v>
                </c:pt>
                <c:pt idx="15">
                  <c:v>3094.9500768049202</c:v>
                </c:pt>
                <c:pt idx="16">
                  <c:v>3166.0401002506301</c:v>
                </c:pt>
                <c:pt idx="17">
                  <c:v>3193.33386009271</c:v>
                </c:pt>
                <c:pt idx="18">
                  <c:v>3220.2380952381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787040"/>
        <c:axId val="282787600"/>
      </c:scatterChart>
      <c:valAx>
        <c:axId val="282787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viento en m/s</a:t>
                </a:r>
              </a:p>
            </c:rich>
          </c:tx>
          <c:layout>
            <c:manualLayout>
              <c:xMode val="edge"/>
              <c:yMode val="edge"/>
              <c:x val="0.47368418900908421"/>
              <c:y val="0.8841060394794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2787600"/>
        <c:crosses val="autoZero"/>
        <c:crossBetween val="midCat"/>
      </c:valAx>
      <c:valAx>
        <c:axId val="2827876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potencia en kW</a:t>
                </a:r>
              </a:p>
            </c:rich>
          </c:tx>
          <c:layout>
            <c:manualLayout>
              <c:xMode val="edge"/>
              <c:yMode val="edge"/>
              <c:x val="2.6315810990915855E-2"/>
              <c:y val="0.2880796150481190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27870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20290103923927"/>
          <c:y val="0.15364617508748907"/>
          <c:w val="0.12772606111151993"/>
          <c:h val="6.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50018458230747"/>
          <c:y val="9.154929577464789E-2"/>
          <c:w val="0.76612978646534236"/>
          <c:h val="0.66549295774647887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Calculo!$M$2</c:f>
              <c:strCache>
                <c:ptCount val="1"/>
                <c:pt idx="0">
                  <c:v>E (kWh/año)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Calculo!$F$3:$F$27</c:f>
              <c:numCache>
                <c:formatCode>0.00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Calculo!$M$3:$M$27</c:f>
              <c:numCache>
                <c:formatCode>0</c:formatCode>
                <c:ptCount val="25"/>
                <c:pt idx="0">
                  <c:v>0</c:v>
                </c:pt>
                <c:pt idx="1">
                  <c:v>438.30188913445147</c:v>
                </c:pt>
                <c:pt idx="2">
                  <c:v>154816.49561277265</c:v>
                </c:pt>
                <c:pt idx="3">
                  <c:v>540802.04981071781</c:v>
                </c:pt>
                <c:pt idx="4">
                  <c:v>962854.89249351469</c:v>
                </c:pt>
                <c:pt idx="5">
                  <c:v>1305704.5082691202</c:v>
                </c:pt>
                <c:pt idx="6">
                  <c:v>1490591.5333067363</c:v>
                </c:pt>
                <c:pt idx="7">
                  <c:v>1524641.0113168634</c:v>
                </c:pt>
                <c:pt idx="8">
                  <c:v>1333156.3814926213</c:v>
                </c:pt>
                <c:pt idx="9">
                  <c:v>1064433.0122937339</c:v>
                </c:pt>
                <c:pt idx="10">
                  <c:v>814971.24235664692</c:v>
                </c:pt>
                <c:pt idx="11">
                  <c:v>552819.14210953913</c:v>
                </c:pt>
                <c:pt idx="12">
                  <c:v>350731.48577748286</c:v>
                </c:pt>
                <c:pt idx="13">
                  <c:v>201605.94480097789</c:v>
                </c:pt>
                <c:pt idx="14">
                  <c:v>99321.463353889529</c:v>
                </c:pt>
                <c:pt idx="15">
                  <c:v>46055.219198278362</c:v>
                </c:pt>
                <c:pt idx="16">
                  <c:v>21860.030970594875</c:v>
                </c:pt>
                <c:pt idx="17">
                  <c:v>9789.7522257561668</c:v>
                </c:pt>
                <c:pt idx="18">
                  <c:v>4073.4008085068735</c:v>
                </c:pt>
                <c:pt idx="19">
                  <c:v>1596.8984016815198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789840"/>
        <c:axId val="283200800"/>
      </c:scatterChart>
      <c:valAx>
        <c:axId val="282789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viento en m/s</a:t>
                </a:r>
              </a:p>
            </c:rich>
          </c:tx>
          <c:layout>
            <c:manualLayout>
              <c:xMode val="edge"/>
              <c:yMode val="edge"/>
              <c:x val="0.4818551750798592"/>
              <c:y val="0.8661973269191495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3200800"/>
        <c:crosses val="autoZero"/>
        <c:crossBetween val="midCat"/>
      </c:valAx>
      <c:valAx>
        <c:axId val="2832008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energía kWh/año</a:t>
                </a:r>
              </a:p>
            </c:rich>
          </c:tx>
          <c:layout>
            <c:manualLayout>
              <c:xMode val="edge"/>
              <c:yMode val="edge"/>
              <c:x val="3.225803169952593E-2"/>
              <c:y val="0.22535228845673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27898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55586244448871"/>
          <c:y val="8.5526453161064012E-2"/>
          <c:w val="0.81616322633212268"/>
          <c:h val="0.6809221463207788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Calculo!$K$2</c:f>
              <c:strCache>
                <c:ptCount val="1"/>
                <c:pt idx="0">
                  <c:v>Dist. de DPE (W/m2)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Calculo!$F$3:$F$27</c:f>
              <c:numCache>
                <c:formatCode>0.00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Calculo!$K$3:$K$27</c:f>
              <c:numCache>
                <c:formatCode>0.0</c:formatCode>
                <c:ptCount val="25"/>
                <c:pt idx="0">
                  <c:v>2.5640303185628422E-2</c:v>
                </c:pt>
                <c:pt idx="1">
                  <c:v>0.37069532376905989</c:v>
                </c:pt>
                <c:pt idx="2">
                  <c:v>1.7585215179583282</c:v>
                </c:pt>
                <c:pt idx="3">
                  <c:v>4.9139488425758264</c:v>
                </c:pt>
                <c:pt idx="4">
                  <c:v>10.044624812199665</c:v>
                </c:pt>
                <c:pt idx="5">
                  <c:v>16.533916133539943</c:v>
                </c:pt>
                <c:pt idx="6">
                  <c:v>23.060855264805685</c:v>
                </c:pt>
                <c:pt idx="7">
                  <c:v>28.088881635917904</c:v>
                </c:pt>
                <c:pt idx="8">
                  <c:v>30.459696911922467</c:v>
                </c:pt>
                <c:pt idx="9">
                  <c:v>29.792268237477</c:v>
                </c:pt>
                <c:pt idx="10">
                  <c:v>26.524744594285078</c:v>
                </c:pt>
                <c:pt idx="11">
                  <c:v>21.640499319006718</c:v>
                </c:pt>
                <c:pt idx="12">
                  <c:v>16.25989334956336</c:v>
                </c:pt>
                <c:pt idx="13">
                  <c:v>11.294206336308198</c:v>
                </c:pt>
                <c:pt idx="14">
                  <c:v>7.2738719511318344</c:v>
                </c:pt>
                <c:pt idx="15">
                  <c:v>4.3537131573262293</c:v>
                </c:pt>
                <c:pt idx="16">
                  <c:v>2.4263076968090265</c:v>
                </c:pt>
                <c:pt idx="17">
                  <c:v>1.2608830051069444</c:v>
                </c:pt>
                <c:pt idx="18">
                  <c:v>0.61175229739008641</c:v>
                </c:pt>
                <c:pt idx="19">
                  <c:v>0.27738391703682197</c:v>
                </c:pt>
                <c:pt idx="20">
                  <c:v>0.11763811536271659</c:v>
                </c:pt>
                <c:pt idx="21">
                  <c:v>4.6694999341096735E-2</c:v>
                </c:pt>
                <c:pt idx="22">
                  <c:v>1.7357704386935954E-2</c:v>
                </c:pt>
                <c:pt idx="23">
                  <c:v>6.0452812622607162E-3</c:v>
                </c:pt>
                <c:pt idx="24">
                  <c:v>1.973383673462524E-3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Calculo!$N$2</c:f>
              <c:strCache>
                <c:ptCount val="1"/>
                <c:pt idx="0">
                  <c:v>Dist.Potencia Salida W/m2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Calculo!$F$3:$F$27</c:f>
              <c:numCache>
                <c:formatCode>0.00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Calculo!$N$3:$N$27</c:f>
              <c:numCache>
                <c:formatCode>0.00</c:formatCode>
                <c:ptCount val="25"/>
                <c:pt idx="0">
                  <c:v>0</c:v>
                </c:pt>
                <c:pt idx="1">
                  <c:v>3.9816159944214524</c:v>
                </c:pt>
                <c:pt idx="2">
                  <c:v>1406.3818806471174</c:v>
                </c:pt>
                <c:pt idx="3">
                  <c:v>4912.746544612166</c:v>
                </c:pt>
                <c:pt idx="4">
                  <c:v>8746.7531746894037</c:v>
                </c:pt>
                <c:pt idx="5">
                  <c:v>11861.26293997734</c:v>
                </c:pt>
                <c:pt idx="6">
                  <c:v>13540.81111054193</c:v>
                </c:pt>
                <c:pt idx="7">
                  <c:v>13850.122910485456</c:v>
                </c:pt>
                <c:pt idx="8">
                  <c:v>12110.640869238316</c:v>
                </c:pt>
                <c:pt idx="9">
                  <c:v>9669.507733832419</c:v>
                </c:pt>
                <c:pt idx="10">
                  <c:v>7403.3505535846671</c:v>
                </c:pt>
                <c:pt idx="11">
                  <c:v>5021.9120492325401</c:v>
                </c:pt>
                <c:pt idx="12">
                  <c:v>3186.1101403796333</c:v>
                </c:pt>
                <c:pt idx="13">
                  <c:v>1831.4259515860406</c:v>
                </c:pt>
                <c:pt idx="14">
                  <c:v>902.25467168333648</c:v>
                </c:pt>
                <c:pt idx="15">
                  <c:v>418.37418896043152</c:v>
                </c:pt>
                <c:pt idx="16">
                  <c:v>198.58059275753979</c:v>
                </c:pt>
                <c:pt idx="17">
                  <c:v>88.931932555592383</c:v>
                </c:pt>
                <c:pt idx="18">
                  <c:v>37.00353161349269</c:v>
                </c:pt>
                <c:pt idx="19">
                  <c:v>14.506522502463524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203600"/>
        <c:axId val="283204160"/>
      </c:scatterChart>
      <c:valAx>
        <c:axId val="283203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viento en m/s</a:t>
                </a:r>
              </a:p>
            </c:rich>
          </c:tx>
          <c:layout>
            <c:manualLayout>
              <c:xMode val="edge"/>
              <c:yMode val="edge"/>
              <c:x val="0.46464721801079217"/>
              <c:y val="0.8717119806589060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3204160"/>
        <c:crosses val="autoZero"/>
        <c:crossBetween val="midCat"/>
      </c:valAx>
      <c:valAx>
        <c:axId val="283204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dist. probabilidad W/m2</a:t>
                </a:r>
              </a:p>
            </c:rich>
          </c:tx>
          <c:layout>
            <c:manualLayout>
              <c:xMode val="edge"/>
              <c:yMode val="edge"/>
              <c:x val="3.2323201447645132E-2"/>
              <c:y val="0.1513160091629767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320360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944099378881984"/>
          <c:y val="0.22391924291906257"/>
          <c:w val="0.24378881987577639"/>
          <c:h val="0.2519090648020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39895528949341"/>
          <c:y val="4.0609187382499433E-2"/>
          <c:w val="0.84268040954842283"/>
          <c:h val="0.80456952501577006"/>
        </c:manualLayout>
      </c:layout>
      <c:scatterChart>
        <c:scatterStyle val="lineMarker"/>
        <c:varyColors val="0"/>
        <c:ser>
          <c:idx val="0"/>
          <c:order val="0"/>
          <c:tx>
            <c:strRef>
              <c:f>CURVAS!$C$3</c:f>
              <c:strCache>
                <c:ptCount val="1"/>
                <c:pt idx="0">
                  <c:v>Izar-Bonus 1.3 Mw 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CURVAS!$A$4:$A$23</c:f>
              <c:numCache>
                <c:formatCode>#,##0.0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CURVAS!$C$4:$C$23</c:f>
              <c:numCache>
                <c:formatCode>#,##0.0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2.9889799766391203</c:v>
                </c:pt>
                <c:pt idx="3">
                  <c:v>38.867460932280373</c:v>
                </c:pt>
                <c:pt idx="4">
                  <c:v>97.376030152751042</c:v>
                </c:pt>
                <c:pt idx="5">
                  <c:v>173.81626664885536</c:v>
                </c:pt>
                <c:pt idx="6">
                  <c:v>295.5165311542857</c:v>
                </c:pt>
                <c:pt idx="7">
                  <c:v>444.37620096598204</c:v>
                </c:pt>
                <c:pt idx="8">
                  <c:v>614.20892627548562</c:v>
                </c:pt>
                <c:pt idx="9">
                  <c:v>787.07682749449282</c:v>
                </c:pt>
                <c:pt idx="10">
                  <c:v>935.8016057193596</c:v>
                </c:pt>
                <c:pt idx="11">
                  <c:v>1082.6975215729499</c:v>
                </c:pt>
                <c:pt idx="12">
                  <c:v>1173.5008784270501</c:v>
                </c:pt>
                <c:pt idx="13">
                  <c:v>1253.0856196118277</c:v>
                </c:pt>
                <c:pt idx="14">
                  <c:v>1282.5833924463477</c:v>
                </c:pt>
                <c:pt idx="15">
                  <c:v>1302.0578965707964</c:v>
                </c:pt>
                <c:pt idx="16">
                  <c:v>1301.80717292486</c:v>
                </c:pt>
                <c:pt idx="17">
                  <c:v>1299.1712480202279</c:v>
                </c:pt>
                <c:pt idx="18">
                  <c:v>1298.7602999999999</c:v>
                </c:pt>
                <c:pt idx="19">
                  <c:v>1298.7602999999999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CURVAS!$D$3</c:f>
              <c:strCache>
                <c:ptCount val="1"/>
                <c:pt idx="0">
                  <c:v>Gamesa G-47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CURVAS!#REF!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CURVAS!$D$4:$D$19</c:f>
              <c:numCache>
                <c:formatCode>#,##0.0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1.4958733369104735</c:v>
                </c:pt>
                <c:pt idx="4">
                  <c:v>55.492061819333358</c:v>
                </c:pt>
                <c:pt idx="5">
                  <c:v>107.75872747986662</c:v>
                </c:pt>
                <c:pt idx="6">
                  <c:v>165.57854475658263</c:v>
                </c:pt>
                <c:pt idx="7">
                  <c:v>249.68581849440415</c:v>
                </c:pt>
                <c:pt idx="8">
                  <c:v>348.23374219408004</c:v>
                </c:pt>
                <c:pt idx="9">
                  <c:v>461.51109871681433</c:v>
                </c:pt>
                <c:pt idx="10">
                  <c:v>556.0228614436578</c:v>
                </c:pt>
                <c:pt idx="11">
                  <c:v>623.40573207634588</c:v>
                </c:pt>
                <c:pt idx="12">
                  <c:v>668.00410180044366</c:v>
                </c:pt>
                <c:pt idx="13">
                  <c:v>686.75924035100502</c:v>
                </c:pt>
                <c:pt idx="14">
                  <c:v>695.00171027052681</c:v>
                </c:pt>
                <c:pt idx="15">
                  <c:v>698.54476653922745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CURVAS!$E$3</c:f>
              <c:strCache>
                <c:ptCount val="1"/>
                <c:pt idx="0">
                  <c:v>Izar-Bonus MK - IV 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CURVAS!#REF!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CURVAS!$E$4:$E$28</c:f>
              <c:numCache>
                <c:formatCode>#,##0.0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-3</c:v>
                </c:pt>
                <c:pt idx="3">
                  <c:v>19.399999999999999</c:v>
                </c:pt>
                <c:pt idx="4">
                  <c:v>44.2</c:v>
                </c:pt>
                <c:pt idx="5">
                  <c:v>77</c:v>
                </c:pt>
                <c:pt idx="6">
                  <c:v>129.69999999999999</c:v>
                </c:pt>
                <c:pt idx="7">
                  <c:v>197.9</c:v>
                </c:pt>
                <c:pt idx="8">
                  <c:v>275.2</c:v>
                </c:pt>
                <c:pt idx="9">
                  <c:v>354.3</c:v>
                </c:pt>
                <c:pt idx="10">
                  <c:v>435.6</c:v>
                </c:pt>
                <c:pt idx="11">
                  <c:v>513.6</c:v>
                </c:pt>
                <c:pt idx="12">
                  <c:v>575.70000000000005</c:v>
                </c:pt>
                <c:pt idx="13">
                  <c:v>610.1</c:v>
                </c:pt>
                <c:pt idx="14">
                  <c:v>620.1</c:v>
                </c:pt>
                <c:pt idx="15">
                  <c:v>606.4</c:v>
                </c:pt>
                <c:pt idx="16">
                  <c:v>589.4</c:v>
                </c:pt>
                <c:pt idx="17">
                  <c:v>583</c:v>
                </c:pt>
                <c:pt idx="18">
                  <c:v>571.79999999999995</c:v>
                </c:pt>
                <c:pt idx="19">
                  <c:v>571.79999999999995</c:v>
                </c:pt>
                <c:pt idx="20">
                  <c:v>571.79999999999995</c:v>
                </c:pt>
                <c:pt idx="21">
                  <c:v>571.79999999999995</c:v>
                </c:pt>
                <c:pt idx="22">
                  <c:v>571.79999999999995</c:v>
                </c:pt>
                <c:pt idx="23">
                  <c:v>571.79999999999995</c:v>
                </c:pt>
                <c:pt idx="24">
                  <c:v>571.79999999999995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CURVAS!$F$3</c:f>
              <c:strCache>
                <c:ptCount val="1"/>
                <c:pt idx="0">
                  <c:v>Made AE-52 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square"/>
            <c:size val="7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CURVAS!#REF!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CURVAS!$F$4:$F$24</c:f>
              <c:numCache>
                <c:formatCode>#,##0.0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25.337848914908491</c:v>
                </c:pt>
                <c:pt idx="4">
                  <c:v>64.570230800000004</c:v>
                </c:pt>
                <c:pt idx="5">
                  <c:v>120.29949460538518</c:v>
                </c:pt>
                <c:pt idx="6">
                  <c:v>188.54112779320761</c:v>
                </c:pt>
                <c:pt idx="7">
                  <c:v>271.80132390593491</c:v>
                </c:pt>
                <c:pt idx="8">
                  <c:v>378.86029973508818</c:v>
                </c:pt>
                <c:pt idx="9">
                  <c:v>513.20754445880584</c:v>
                </c:pt>
                <c:pt idx="10">
                  <c:v>693.45310506241503</c:v>
                </c:pt>
                <c:pt idx="11">
                  <c:v>796.69526353898323</c:v>
                </c:pt>
                <c:pt idx="12">
                  <c:v>796.85271557444605</c:v>
                </c:pt>
                <c:pt idx="13">
                  <c:v>797.01016760990888</c:v>
                </c:pt>
                <c:pt idx="14">
                  <c:v>797.1676196453717</c:v>
                </c:pt>
                <c:pt idx="15">
                  <c:v>797.32507168083453</c:v>
                </c:pt>
                <c:pt idx="16">
                  <c:v>797.48252371629735</c:v>
                </c:pt>
                <c:pt idx="17">
                  <c:v>797.63997575176018</c:v>
                </c:pt>
                <c:pt idx="18">
                  <c:v>797.797427787223</c:v>
                </c:pt>
                <c:pt idx="19">
                  <c:v>797.95487982268583</c:v>
                </c:pt>
                <c:pt idx="20">
                  <c:v>798.11233185814865</c:v>
                </c:pt>
              </c:numCache>
            </c:numRef>
          </c:yVal>
          <c:smooth val="0"/>
        </c:ser>
        <c:ser>
          <c:idx val="7"/>
          <c:order val="4"/>
          <c:tx>
            <c:strRef>
              <c:f>CURVAS!$G$3</c:f>
              <c:strCache>
                <c:ptCount val="1"/>
                <c:pt idx="0">
                  <c:v>Made AE - 61 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CURVAS!#REF!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CURVAS!$G$4:$G$27</c:f>
              <c:numCache>
                <c:formatCode>#,##0.0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28</c:v>
                </c:pt>
                <c:pt idx="4">
                  <c:v>79</c:v>
                </c:pt>
                <c:pt idx="5">
                  <c:v>150</c:v>
                </c:pt>
                <c:pt idx="6">
                  <c:v>229</c:v>
                </c:pt>
                <c:pt idx="7">
                  <c:v>372</c:v>
                </c:pt>
                <c:pt idx="8">
                  <c:v>540</c:v>
                </c:pt>
                <c:pt idx="9">
                  <c:v>733</c:v>
                </c:pt>
                <c:pt idx="10">
                  <c:v>911</c:v>
                </c:pt>
                <c:pt idx="11">
                  <c:v>1050</c:v>
                </c:pt>
                <c:pt idx="12">
                  <c:v>1175</c:v>
                </c:pt>
                <c:pt idx="13">
                  <c:v>1252</c:v>
                </c:pt>
                <c:pt idx="14">
                  <c:v>1307</c:v>
                </c:pt>
                <c:pt idx="15">
                  <c:v>1320</c:v>
                </c:pt>
                <c:pt idx="16">
                  <c:v>1313</c:v>
                </c:pt>
                <c:pt idx="17">
                  <c:v>1282</c:v>
                </c:pt>
                <c:pt idx="18">
                  <c:v>1228</c:v>
                </c:pt>
                <c:pt idx="19">
                  <c:v>1175</c:v>
                </c:pt>
                <c:pt idx="20">
                  <c:v>1114</c:v>
                </c:pt>
                <c:pt idx="21">
                  <c:v>1079</c:v>
                </c:pt>
                <c:pt idx="22">
                  <c:v>1063</c:v>
                </c:pt>
                <c:pt idx="23">
                  <c:v>1058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320192"/>
        <c:axId val="283320752"/>
      </c:scatterChart>
      <c:valAx>
        <c:axId val="283320192"/>
        <c:scaling>
          <c:orientation val="minMax"/>
          <c:max val="2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viento en m/s</a:t>
                </a:r>
              </a:p>
            </c:rich>
          </c:tx>
          <c:layout>
            <c:manualLayout>
              <c:xMode val="edge"/>
              <c:yMode val="edge"/>
              <c:x val="0.47040571199786468"/>
              <c:y val="0.916244604984298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3320752"/>
        <c:crosses val="autoZero"/>
        <c:crossBetween val="midCat"/>
        <c:majorUnit val="2"/>
      </c:valAx>
      <c:valAx>
        <c:axId val="28332075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potencia en kW</a:t>
                </a:r>
              </a:p>
            </c:rich>
          </c:tx>
          <c:layout>
            <c:manualLayout>
              <c:xMode val="edge"/>
              <c:yMode val="edge"/>
              <c:x val="2.4922149561813246E-2"/>
              <c:y val="0.286802386440398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33201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312364556125398"/>
          <c:y val="8.6444007858546168E-2"/>
          <c:w val="0.22639241069442589"/>
          <c:h val="0.223968565815324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CURVAS!$P$3</c:f>
              <c:strCache>
                <c:ptCount val="1"/>
                <c:pt idx="0">
                  <c:v>donQi Urban Windmill 1.5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CURVAS!$A$4:$A$28</c:f>
              <c:numCache>
                <c:formatCode>#,##0.0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CURVAS!$P$4:$P$28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1.9E-2</c:v>
                </c:pt>
                <c:pt idx="3">
                  <c:v>4.3999999999999997E-2</c:v>
                </c:pt>
                <c:pt idx="4">
                  <c:v>8.6999999999999994E-2</c:v>
                </c:pt>
                <c:pt idx="5">
                  <c:v>0.15</c:v>
                </c:pt>
                <c:pt idx="6">
                  <c:v>0.23799999999999999</c:v>
                </c:pt>
                <c:pt idx="7">
                  <c:v>0.35499999999999998</c:v>
                </c:pt>
                <c:pt idx="8">
                  <c:v>0.505</c:v>
                </c:pt>
                <c:pt idx="9">
                  <c:v>0.69299999999999995</c:v>
                </c:pt>
                <c:pt idx="10">
                  <c:v>0.92200000000000004</c:v>
                </c:pt>
                <c:pt idx="11">
                  <c:v>1.1970000000000001</c:v>
                </c:pt>
                <c:pt idx="12">
                  <c:v>1.522</c:v>
                </c:pt>
                <c:pt idx="13">
                  <c:v>1.901</c:v>
                </c:pt>
                <c:pt idx="14">
                  <c:v>2.2999999999999998</c:v>
                </c:pt>
                <c:pt idx="15">
                  <c:v>2.2999999999999998</c:v>
                </c:pt>
                <c:pt idx="16">
                  <c:v>2.2999999999999998</c:v>
                </c:pt>
                <c:pt idx="17">
                  <c:v>2.2999999999999998</c:v>
                </c:pt>
                <c:pt idx="18">
                  <c:v>2</c:v>
                </c:pt>
                <c:pt idx="19">
                  <c:v>2</c:v>
                </c:pt>
                <c:pt idx="20">
                  <c:v>0.8</c:v>
                </c:pt>
                <c:pt idx="21">
                  <c:v>0.8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CURVAS!$R$3</c:f>
              <c:strCache>
                <c:ptCount val="1"/>
                <c:pt idx="0">
                  <c:v>eddyGT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CURVAS!$A$4:$A$28</c:f>
              <c:numCache>
                <c:formatCode>#,##0.0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CURVAS!$R$4:$R$28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3.1834728277931636E-2</c:v>
                </c:pt>
                <c:pt idx="4">
                  <c:v>6.6938374802817169E-2</c:v>
                </c:pt>
                <c:pt idx="5">
                  <c:v>0.12507080911421756</c:v>
                </c:pt>
                <c:pt idx="6">
                  <c:v>0.19773232883736189</c:v>
                </c:pt>
                <c:pt idx="7">
                  <c:v>0.29490645916878683</c:v>
                </c:pt>
                <c:pt idx="8">
                  <c:v>0.42508607927381581</c:v>
                </c:pt>
                <c:pt idx="9">
                  <c:v>0.5962884770928617</c:v>
                </c:pt>
                <c:pt idx="10">
                  <c:v>0.79039189576497626</c:v>
                </c:pt>
                <c:pt idx="11">
                  <c:v>0.99893575729456274</c:v>
                </c:pt>
                <c:pt idx="12">
                  <c:v>0.99802601229023147</c:v>
                </c:pt>
                <c:pt idx="13">
                  <c:v>0.99626813142278359</c:v>
                </c:pt>
                <c:pt idx="14">
                  <c:v>0.99626921496652876</c:v>
                </c:pt>
                <c:pt idx="15">
                  <c:v>0.99664254730209345</c:v>
                </c:pt>
                <c:pt idx="16">
                  <c:v>0.99701587963765825</c:v>
                </c:pt>
                <c:pt idx="17">
                  <c:v>0.99738921197322294</c:v>
                </c:pt>
                <c:pt idx="18">
                  <c:v>0.99776254430878775</c:v>
                </c:pt>
                <c:pt idx="19">
                  <c:v>0.99813587664435255</c:v>
                </c:pt>
                <c:pt idx="20">
                  <c:v>0.99850920897991724</c:v>
                </c:pt>
                <c:pt idx="21">
                  <c:v>0.99888254131548204</c:v>
                </c:pt>
                <c:pt idx="22">
                  <c:v>0.99925587365104673</c:v>
                </c:pt>
                <c:pt idx="23">
                  <c:v>0.99962920598661154</c:v>
                </c:pt>
                <c:pt idx="24">
                  <c:v>1.0000025383221762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447504"/>
        <c:axId val="282448064"/>
      </c:scatterChart>
      <c:valAx>
        <c:axId val="282447504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Velocidad de viento en m/s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2448064"/>
        <c:crosses val="autoZero"/>
        <c:crossBetween val="midCat"/>
      </c:valAx>
      <c:valAx>
        <c:axId val="28244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Potencia en kW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2447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Curva de potencia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071479976293285"/>
          <c:y val="0.19480351414406533"/>
          <c:w val="0.7692045550757769"/>
          <c:h val="0.59104512977544477"/>
        </c:manualLayout>
      </c:layout>
      <c:scatterChart>
        <c:scatterStyle val="lineMarker"/>
        <c:varyColors val="0"/>
        <c:ser>
          <c:idx val="0"/>
          <c:order val="0"/>
          <c:tx>
            <c:strRef>
              <c:f>'EJEMPLO CALCULO'!$C$7</c:f>
              <c:strCache>
                <c:ptCount val="1"/>
                <c:pt idx="0">
                  <c:v>Potencia (kW)</c:v>
                </c:pt>
              </c:strCache>
            </c:strRef>
          </c:tx>
          <c:xVal>
            <c:numRef>
              <c:f>'EJEMPLO CALCULO'!$B$8:$B$32</c:f>
              <c:numCache>
                <c:formatCode>#,##0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'EJEMPLO CALCULO'!$C$8:$C$32</c:f>
              <c:numCache>
                <c:formatCode>#,##0</c:formatCode>
                <c:ptCount val="25"/>
                <c:pt idx="0">
                  <c:v>0</c:v>
                </c:pt>
                <c:pt idx="1">
                  <c:v>3</c:v>
                </c:pt>
                <c:pt idx="2">
                  <c:v>25</c:v>
                </c:pt>
                <c:pt idx="3">
                  <c:v>82</c:v>
                </c:pt>
                <c:pt idx="4">
                  <c:v>174</c:v>
                </c:pt>
                <c:pt idx="5">
                  <c:v>321</c:v>
                </c:pt>
                <c:pt idx="6">
                  <c:v>532</c:v>
                </c:pt>
                <c:pt idx="7">
                  <c:v>815</c:v>
                </c:pt>
                <c:pt idx="8">
                  <c:v>1180</c:v>
                </c:pt>
                <c:pt idx="9">
                  <c:v>1612</c:v>
                </c:pt>
                <c:pt idx="10">
                  <c:v>1890</c:v>
                </c:pt>
                <c:pt idx="11">
                  <c:v>2000</c:v>
                </c:pt>
                <c:pt idx="12">
                  <c:v>2050</c:v>
                </c:pt>
                <c:pt idx="13">
                  <c:v>2050</c:v>
                </c:pt>
                <c:pt idx="14">
                  <c:v>2050</c:v>
                </c:pt>
                <c:pt idx="15">
                  <c:v>2050</c:v>
                </c:pt>
                <c:pt idx="16">
                  <c:v>2050</c:v>
                </c:pt>
                <c:pt idx="17">
                  <c:v>2050</c:v>
                </c:pt>
                <c:pt idx="18">
                  <c:v>2050</c:v>
                </c:pt>
                <c:pt idx="19">
                  <c:v>2050</c:v>
                </c:pt>
                <c:pt idx="20">
                  <c:v>2050</c:v>
                </c:pt>
                <c:pt idx="21">
                  <c:v>2050</c:v>
                </c:pt>
                <c:pt idx="22">
                  <c:v>2050</c:v>
                </c:pt>
                <c:pt idx="23">
                  <c:v>2050</c:v>
                </c:pt>
                <c:pt idx="24">
                  <c:v>2050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739104"/>
        <c:axId val="283739664"/>
      </c:scatterChart>
      <c:valAx>
        <c:axId val="283739104"/>
        <c:scaling>
          <c:orientation val="minMax"/>
          <c:max val="25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Velocidad de viento en m/s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83739664"/>
        <c:crosses val="autoZero"/>
        <c:crossBetween val="midCat"/>
        <c:majorUnit val="1"/>
      </c:valAx>
      <c:valAx>
        <c:axId val="283739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Potencia en kW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8373910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Histograma de vel. viento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'EJEMPLO CALCULO'!$E$7</c:f>
              <c:strCache>
                <c:ptCount val="1"/>
                <c:pt idx="0">
                  <c:v>Probalidad</c:v>
                </c:pt>
              </c:strCache>
            </c:strRef>
          </c:tx>
          <c:invertIfNegative val="0"/>
          <c:cat>
            <c:numRef>
              <c:f>'EJEMPLO CALCULO'!$B$8:$B$32</c:f>
              <c:numCache>
                <c:formatCode>#,##0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'EJEMPLO CALCULO'!$E$8:$E$32</c:f>
              <c:numCache>
                <c:formatCode>0.0%</c:formatCode>
                <c:ptCount val="25"/>
                <c:pt idx="0">
                  <c:v>4.6159659213689974E-2</c:v>
                </c:pt>
                <c:pt idx="1">
                  <c:v>7.686371746144427E-2</c:v>
                </c:pt>
                <c:pt idx="2">
                  <c:v>0.10383952456081824</c:v>
                </c:pt>
                <c:pt idx="3">
                  <c:v>0.11958355331356241</c:v>
                </c:pt>
                <c:pt idx="4">
                  <c:v>0.12381447863768291</c:v>
                </c:pt>
                <c:pt idx="5">
                  <c:v>0.11802188182011702</c:v>
                </c:pt>
                <c:pt idx="6">
                  <c:v>0.10489118893054694</c:v>
                </c:pt>
                <c:pt idx="7">
                  <c:v>8.7575049898405366E-2</c:v>
                </c:pt>
                <c:pt idx="8">
                  <c:v>6.9024302268008819E-2</c:v>
                </c:pt>
                <c:pt idx="9">
                  <c:v>5.1528583188922727E-2</c:v>
                </c:pt>
                <c:pt idx="10">
                  <c:v>3.6521536684684941E-2</c:v>
                </c:pt>
                <c:pt idx="11">
                  <c:v>2.4618699859979665E-2</c:v>
                </c:pt>
                <c:pt idx="12">
                  <c:v>1.5804252393667451E-2</c:v>
                </c:pt>
                <c:pt idx="13">
                  <c:v>9.6721821315258749E-3</c:v>
                </c:pt>
                <c:pt idx="14">
                  <c:v>5.6477108753448801E-3</c:v>
                </c:pt>
                <c:pt idx="15">
                  <c:v>3.1485074670043467E-3</c:v>
                </c:pt>
                <c:pt idx="16">
                  <c:v>1.6767017889349756E-3</c:v>
                </c:pt>
                <c:pt idx="17">
                  <c:v>8.5333588019742557E-4</c:v>
                </c:pt>
                <c:pt idx="18">
                  <c:v>4.1520248394721904E-4</c:v>
                </c:pt>
                <c:pt idx="19">
                  <c:v>1.9320271465816941E-4</c:v>
                </c:pt>
                <c:pt idx="20">
                  <c:v>8.5999761683663856E-5</c:v>
                </c:pt>
                <c:pt idx="21">
                  <c:v>3.6627980816827943E-5</c:v>
                </c:pt>
                <c:pt idx="22">
                  <c:v>1.4929589617573846E-5</c:v>
                </c:pt>
                <c:pt idx="23">
                  <c:v>5.8247617854556566E-6</c:v>
                </c:pt>
                <c:pt idx="24">
                  <c:v>2.1755583687887992E-6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742464"/>
        <c:axId val="284254144"/>
      </c:barChart>
      <c:barChart>
        <c:barDir val="col"/>
        <c:grouping val="clustered"/>
        <c:varyColors val="0"/>
        <c:ser>
          <c:idx val="1"/>
          <c:order val="1"/>
          <c:tx>
            <c:strRef>
              <c:f>'EJEMPLO CALCULO'!$F$7</c:f>
              <c:strCache>
                <c:ptCount val="1"/>
                <c:pt idx="0">
                  <c:v>Horas/año</c:v>
                </c:pt>
              </c:strCache>
            </c:strRef>
          </c:tx>
          <c:invertIfNegative val="0"/>
          <c:cat>
            <c:numRef>
              <c:f>'EJEMPLO CALCULO'!$B$8:$B$32</c:f>
              <c:numCache>
                <c:formatCode>#,##0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'EJEMPLO CALCULO'!$F$8:$F$32</c:f>
              <c:numCache>
                <c:formatCode>0</c:formatCode>
                <c:ptCount val="25"/>
                <c:pt idx="0">
                  <c:v>404.35861471192419</c:v>
                </c:pt>
                <c:pt idx="1">
                  <c:v>673.32616496225182</c:v>
                </c:pt>
                <c:pt idx="2">
                  <c:v>909.63423515276781</c:v>
                </c:pt>
                <c:pt idx="3">
                  <c:v>1047.5519270268067</c:v>
                </c:pt>
                <c:pt idx="4">
                  <c:v>1084.6148328661022</c:v>
                </c:pt>
                <c:pt idx="5">
                  <c:v>1033.8716847442251</c:v>
                </c:pt>
                <c:pt idx="6">
                  <c:v>918.84681503159118</c:v>
                </c:pt>
                <c:pt idx="7">
                  <c:v>767.15743711003097</c:v>
                </c:pt>
                <c:pt idx="8">
                  <c:v>604.65288786775727</c:v>
                </c:pt>
                <c:pt idx="9">
                  <c:v>451.3903887349631</c:v>
                </c:pt>
                <c:pt idx="10">
                  <c:v>319.9286613578401</c:v>
                </c:pt>
                <c:pt idx="11">
                  <c:v>215.65981077342187</c:v>
                </c:pt>
                <c:pt idx="12">
                  <c:v>138.44525096852686</c:v>
                </c:pt>
                <c:pt idx="13">
                  <c:v>84.72831547216667</c:v>
                </c:pt>
                <c:pt idx="14">
                  <c:v>49.473947268021149</c:v>
                </c:pt>
                <c:pt idx="15">
                  <c:v>27.580925410958077</c:v>
                </c:pt>
                <c:pt idx="16">
                  <c:v>14.687907671070386</c:v>
                </c:pt>
                <c:pt idx="17">
                  <c:v>7.475222310529448</c:v>
                </c:pt>
                <c:pt idx="18">
                  <c:v>3.6371737593776388</c:v>
                </c:pt>
                <c:pt idx="19">
                  <c:v>1.692455780405564</c:v>
                </c:pt>
                <c:pt idx="20">
                  <c:v>0.75335791234889538</c:v>
                </c:pt>
                <c:pt idx="21">
                  <c:v>0.32086111195541278</c:v>
                </c:pt>
                <c:pt idx="22">
                  <c:v>0.13078320504994689</c:v>
                </c:pt>
                <c:pt idx="23">
                  <c:v>5.1024913240591552E-2</c:v>
                </c:pt>
                <c:pt idx="24">
                  <c:v>1.9057891310589881E-2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84254704"/>
        <c:axId val="284255264"/>
      </c:barChart>
      <c:catAx>
        <c:axId val="28374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Velocidad de viento en m/s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84254144"/>
        <c:crosses val="autoZero"/>
        <c:auto val="1"/>
        <c:lblAlgn val="ctr"/>
        <c:lblOffset val="100"/>
        <c:noMultiLvlLbl val="0"/>
      </c:catAx>
      <c:valAx>
        <c:axId val="284254144"/>
        <c:scaling>
          <c:orientation val="minMax"/>
          <c:max val="0.1231000000000000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Probablidad de viento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83742464"/>
        <c:crosses val="autoZero"/>
        <c:crossBetween val="between"/>
      </c:valAx>
      <c:catAx>
        <c:axId val="284254704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284255264"/>
        <c:crosses val="autoZero"/>
        <c:auto val="1"/>
        <c:lblAlgn val="ctr"/>
        <c:lblOffset val="100"/>
        <c:noMultiLvlLbl val="0"/>
      </c:catAx>
      <c:valAx>
        <c:axId val="284255264"/>
        <c:scaling>
          <c:orientation val="minMax"/>
          <c:max val="1078.1899999999998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horas/año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84254704"/>
        <c:crosses val="max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Densidad de potencia o energía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'EJEMPLO CALCULO'!$G$7</c:f>
              <c:strCache>
                <c:ptCount val="1"/>
                <c:pt idx="0">
                  <c:v>Densidad Potencia (kW)       </c:v>
                </c:pt>
              </c:strCache>
            </c:strRef>
          </c:tx>
          <c:invertIfNegative val="0"/>
          <c:cat>
            <c:numRef>
              <c:f>'EJEMPLO CALCULO'!$B$8:$B$32</c:f>
              <c:numCache>
                <c:formatCode>#,##0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'EJEMPLO CALCULO'!$G$8:$G$32</c:f>
              <c:numCache>
                <c:formatCode>0</c:formatCode>
                <c:ptCount val="25"/>
                <c:pt idx="0">
                  <c:v>0</c:v>
                </c:pt>
                <c:pt idx="1">
                  <c:v>0.23059115238433281</c:v>
                </c:pt>
                <c:pt idx="2">
                  <c:v>2.5959881140204559</c:v>
                </c:pt>
                <c:pt idx="3">
                  <c:v>9.8058513717121176</c:v>
                </c:pt>
                <c:pt idx="4">
                  <c:v>21.543719282956825</c:v>
                </c:pt>
                <c:pt idx="5">
                  <c:v>37.885024064257564</c:v>
                </c:pt>
                <c:pt idx="6">
                  <c:v>55.802112511050971</c:v>
                </c:pt>
                <c:pt idx="7">
                  <c:v>71.37366566720037</c:v>
                </c:pt>
                <c:pt idx="8">
                  <c:v>81.4486766762504</c:v>
                </c:pt>
                <c:pt idx="9">
                  <c:v>83.064076100543431</c:v>
                </c:pt>
                <c:pt idx="10">
                  <c:v>69.025704334054538</c:v>
                </c:pt>
                <c:pt idx="11">
                  <c:v>49.237399719959328</c:v>
                </c:pt>
                <c:pt idx="12">
                  <c:v>32.398717407018275</c:v>
                </c:pt>
                <c:pt idx="13">
                  <c:v>19.827973369628044</c:v>
                </c:pt>
                <c:pt idx="14">
                  <c:v>11.577807294457005</c:v>
                </c:pt>
                <c:pt idx="15">
                  <c:v>6.4544403073589107</c:v>
                </c:pt>
                <c:pt idx="16">
                  <c:v>3.4372386673166999</c:v>
                </c:pt>
                <c:pt idx="17">
                  <c:v>1.7493385544047224</c:v>
                </c:pt>
                <c:pt idx="18">
                  <c:v>0.85116509209179902</c:v>
                </c:pt>
                <c:pt idx="19">
                  <c:v>0.39606556504924728</c:v>
                </c:pt>
                <c:pt idx="20">
                  <c:v>0.1762995114515109</c:v>
                </c:pt>
                <c:pt idx="21">
                  <c:v>7.5087360674497283E-2</c:v>
                </c:pt>
                <c:pt idx="22">
                  <c:v>3.0605658716026385E-2</c:v>
                </c:pt>
                <c:pt idx="23">
                  <c:v>1.1940761660184096E-2</c:v>
                </c:pt>
                <c:pt idx="24">
                  <c:v>4.4598946560170383E-3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021824"/>
        <c:axId val="284022384"/>
      </c:barChart>
      <c:barChart>
        <c:barDir val="col"/>
        <c:grouping val="clustered"/>
        <c:varyColors val="0"/>
        <c:ser>
          <c:idx val="1"/>
          <c:order val="1"/>
          <c:tx>
            <c:strRef>
              <c:f>'EJEMPLO CALCULO'!$H$7</c:f>
              <c:strCache>
                <c:ptCount val="1"/>
                <c:pt idx="0">
                  <c:v>Densidad Energía (MWh/año)</c:v>
                </c:pt>
              </c:strCache>
            </c:strRef>
          </c:tx>
          <c:invertIfNegative val="0"/>
          <c:cat>
            <c:numRef>
              <c:f>'EJEMPLO CALCULO'!$B$8:$B$32</c:f>
              <c:numCache>
                <c:formatCode>#,##0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cat>
          <c:val>
            <c:numRef>
              <c:f>'EJEMPLO CALCULO'!$H$8:$H$32</c:f>
              <c:numCache>
                <c:formatCode>0</c:formatCode>
                <c:ptCount val="25"/>
                <c:pt idx="0">
                  <c:v>0</c:v>
                </c:pt>
                <c:pt idx="1">
                  <c:v>2.0199784948867556</c:v>
                </c:pt>
                <c:pt idx="2">
                  <c:v>22.740855878819193</c:v>
                </c:pt>
                <c:pt idx="3">
                  <c:v>85.899258016198146</c:v>
                </c:pt>
                <c:pt idx="4">
                  <c:v>188.72298091870181</c:v>
                </c:pt>
                <c:pt idx="5">
                  <c:v>331.87281080289625</c:v>
                </c:pt>
                <c:pt idx="6">
                  <c:v>488.82650559680656</c:v>
                </c:pt>
                <c:pt idx="7">
                  <c:v>625.23331124467518</c:v>
                </c:pt>
                <c:pt idx="8">
                  <c:v>713.49040768395355</c:v>
                </c:pt>
                <c:pt idx="9">
                  <c:v>727.64130664076049</c:v>
                </c:pt>
                <c:pt idx="10">
                  <c:v>604.66516996631788</c:v>
                </c:pt>
                <c:pt idx="11">
                  <c:v>431.31962154684373</c:v>
                </c:pt>
                <c:pt idx="12">
                  <c:v>283.8127644854801</c:v>
                </c:pt>
                <c:pt idx="13">
                  <c:v>173.69304671794168</c:v>
                </c:pt>
                <c:pt idx="14">
                  <c:v>101.42159189944336</c:v>
                </c:pt>
                <c:pt idx="15">
                  <c:v>56.540897092464057</c:v>
                </c:pt>
                <c:pt idx="16">
                  <c:v>30.110210725694291</c:v>
                </c:pt>
                <c:pt idx="17">
                  <c:v>15.32420573658537</c:v>
                </c:pt>
                <c:pt idx="18">
                  <c:v>7.4562062067241595</c:v>
                </c:pt>
                <c:pt idx="19">
                  <c:v>3.469534349831406</c:v>
                </c:pt>
                <c:pt idx="20">
                  <c:v>1.5443837203152355</c:v>
                </c:pt>
                <c:pt idx="21">
                  <c:v>0.6577652795085962</c:v>
                </c:pt>
                <c:pt idx="22">
                  <c:v>0.26810557035239113</c:v>
                </c:pt>
                <c:pt idx="23">
                  <c:v>0.10460107214321268</c:v>
                </c:pt>
                <c:pt idx="24">
                  <c:v>3.9068677186709248E-2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84022944"/>
        <c:axId val="284023504"/>
      </c:barChart>
      <c:catAx>
        <c:axId val="284021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Velocidad de viento en m/s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84022384"/>
        <c:crosses val="autoZero"/>
        <c:auto val="1"/>
        <c:lblAlgn val="ctr"/>
        <c:lblOffset val="100"/>
        <c:noMultiLvlLbl val="0"/>
      </c:catAx>
      <c:valAx>
        <c:axId val="284022384"/>
        <c:scaling>
          <c:orientation val="minMax"/>
          <c:max val="96.77539999999999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kW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84021824"/>
        <c:crosses val="autoZero"/>
        <c:crossBetween val="between"/>
      </c:valAx>
      <c:catAx>
        <c:axId val="284022944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284023504"/>
        <c:crosses val="autoZero"/>
        <c:auto val="1"/>
        <c:lblAlgn val="ctr"/>
        <c:lblOffset val="100"/>
        <c:noMultiLvlLbl val="0"/>
      </c:catAx>
      <c:valAx>
        <c:axId val="284023504"/>
        <c:scaling>
          <c:orientation val="minMax"/>
          <c:max val="847.75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MWh/año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84022944"/>
        <c:crosses val="max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906780</xdr:colOff>
      <xdr:row>31</xdr:row>
      <xdr:rowOff>76200</xdr:rowOff>
    </xdr:from>
    <xdr:to>
      <xdr:col>20</xdr:col>
      <xdr:colOff>137160</xdr:colOff>
      <xdr:row>49</xdr:row>
      <xdr:rowOff>22860</xdr:rowOff>
    </xdr:to>
    <xdr:graphicFrame macro="">
      <xdr:nvGraphicFramePr>
        <xdr:cNvPr id="1529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13</xdr:col>
      <xdr:colOff>883920</xdr:colOff>
      <xdr:row>0</xdr:row>
      <xdr:rowOff>358140</xdr:rowOff>
    </xdr:from>
    <xdr:to>
      <xdr:col>20</xdr:col>
      <xdr:colOff>99060</xdr:colOff>
      <xdr:row>16</xdr:row>
      <xdr:rowOff>60960</xdr:rowOff>
    </xdr:to>
    <xdr:graphicFrame macro="">
      <xdr:nvGraphicFramePr>
        <xdr:cNvPr id="153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13</xdr:col>
      <xdr:colOff>899160</xdr:colOff>
      <xdr:row>16</xdr:row>
      <xdr:rowOff>60960</xdr:rowOff>
    </xdr:from>
    <xdr:to>
      <xdr:col>20</xdr:col>
      <xdr:colOff>137160</xdr:colOff>
      <xdr:row>31</xdr:row>
      <xdr:rowOff>60960</xdr:rowOff>
    </xdr:to>
    <xdr:graphicFrame macro="">
      <xdr:nvGraphicFramePr>
        <xdr:cNvPr id="153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472440</xdr:colOff>
      <xdr:row>51</xdr:row>
      <xdr:rowOff>30480</xdr:rowOff>
    </xdr:from>
    <xdr:to>
      <xdr:col>20</xdr:col>
      <xdr:colOff>624840</xdr:colOff>
      <xdr:row>69</xdr:row>
      <xdr:rowOff>7620</xdr:rowOff>
    </xdr:to>
    <xdr:graphicFrame macro="">
      <xdr:nvGraphicFramePr>
        <xdr:cNvPr id="1532" name="Gráfico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114300</xdr:colOff>
      <xdr:row>22</xdr:row>
      <xdr:rowOff>121920</xdr:rowOff>
    </xdr:from>
    <xdr:to>
      <xdr:col>6</xdr:col>
      <xdr:colOff>137160</xdr:colOff>
      <xdr:row>45</xdr:row>
      <xdr:rowOff>144780</xdr:rowOff>
    </xdr:to>
    <xdr:graphicFrame macro="">
      <xdr:nvGraphicFramePr>
        <xdr:cNvPr id="320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76199</xdr:colOff>
      <xdr:row>32</xdr:row>
      <xdr:rowOff>159326</xdr:rowOff>
    </xdr:from>
    <xdr:to>
      <xdr:col>13</xdr:col>
      <xdr:colOff>699654</xdr:colOff>
      <xdr:row>49</xdr:row>
      <xdr:rowOff>76199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652385</xdr:colOff>
      <xdr:row>4</xdr:row>
      <xdr:rowOff>94100</xdr:rowOff>
    </xdr:from>
    <xdr:to>
      <xdr:col>2</xdr:col>
      <xdr:colOff>652385</xdr:colOff>
      <xdr:row>35</xdr:row>
      <xdr:rowOff>143375</xdr:rowOff>
    </xdr:to>
    <xdr:cxnSp macro="">
      <xdr:nvCxnSpPr>
        <xdr:cNvPr id="2" name="11 Conector recto"/>
        <xdr:cNvCxnSpPr/>
      </xdr:nvCxnSpPr>
      <xdr:spPr>
        <a:xfrm>
          <a:off x="2153525" y="734180"/>
          <a:ext cx="0" cy="5076564"/>
        </a:xfrm>
        <a:prstGeom prst="line">
          <a:avLst/>
        </a:prstGeom>
        <a:ln w="1905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598379</xdr:colOff>
      <xdr:row>35</xdr:row>
      <xdr:rowOff>146630</xdr:rowOff>
    </xdr:from>
    <xdr:to>
      <xdr:col>2</xdr:col>
      <xdr:colOff>713592</xdr:colOff>
      <xdr:row>35</xdr:row>
      <xdr:rowOff>146630</xdr:rowOff>
    </xdr:to>
    <xdr:cxnSp macro="">
      <xdr:nvCxnSpPr>
        <xdr:cNvPr id="3" name="13 Conector recto"/>
        <xdr:cNvCxnSpPr/>
      </xdr:nvCxnSpPr>
      <xdr:spPr>
        <a:xfrm>
          <a:off x="2099519" y="5814005"/>
          <a:ext cx="108012" cy="0"/>
        </a:xfrm>
        <a:prstGeom prst="line">
          <a:avLst/>
        </a:prstGeom>
        <a:ln w="28575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598379</xdr:colOff>
      <xdr:row>33</xdr:row>
      <xdr:rowOff>92893</xdr:rowOff>
    </xdr:from>
    <xdr:to>
      <xdr:col>2</xdr:col>
      <xdr:colOff>713592</xdr:colOff>
      <xdr:row>33</xdr:row>
      <xdr:rowOff>92893</xdr:rowOff>
    </xdr:to>
    <xdr:cxnSp macro="">
      <xdr:nvCxnSpPr>
        <xdr:cNvPr id="4" name="21 Conector recto"/>
        <xdr:cNvCxnSpPr/>
      </xdr:nvCxnSpPr>
      <xdr:spPr>
        <a:xfrm>
          <a:off x="2099519" y="5436418"/>
          <a:ext cx="108012" cy="0"/>
        </a:xfrm>
        <a:prstGeom prst="line">
          <a:avLst/>
        </a:prstGeom>
        <a:ln w="28575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598379</xdr:colOff>
      <xdr:row>32</xdr:row>
      <xdr:rowOff>29270</xdr:rowOff>
    </xdr:from>
    <xdr:to>
      <xdr:col>2</xdr:col>
      <xdr:colOff>713592</xdr:colOff>
      <xdr:row>32</xdr:row>
      <xdr:rowOff>29270</xdr:rowOff>
    </xdr:to>
    <xdr:cxnSp macro="">
      <xdr:nvCxnSpPr>
        <xdr:cNvPr id="5" name="22 Conector recto"/>
        <xdr:cNvCxnSpPr/>
      </xdr:nvCxnSpPr>
      <xdr:spPr>
        <a:xfrm>
          <a:off x="2099519" y="5210870"/>
          <a:ext cx="108012" cy="0"/>
        </a:xfrm>
        <a:prstGeom prst="line">
          <a:avLst/>
        </a:prstGeom>
        <a:ln w="28575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598379</xdr:colOff>
      <xdr:row>31</xdr:row>
      <xdr:rowOff>30223</xdr:rowOff>
    </xdr:from>
    <xdr:to>
      <xdr:col>2</xdr:col>
      <xdr:colOff>713592</xdr:colOff>
      <xdr:row>31</xdr:row>
      <xdr:rowOff>30223</xdr:rowOff>
    </xdr:to>
    <xdr:cxnSp macro="">
      <xdr:nvCxnSpPr>
        <xdr:cNvPr id="6" name="23 Conector recto"/>
        <xdr:cNvCxnSpPr/>
      </xdr:nvCxnSpPr>
      <xdr:spPr>
        <a:xfrm>
          <a:off x="2099519" y="5049898"/>
          <a:ext cx="108012" cy="0"/>
        </a:xfrm>
        <a:prstGeom prst="line">
          <a:avLst/>
        </a:prstGeom>
        <a:ln w="127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598379</xdr:colOff>
      <xdr:row>30</xdr:row>
      <xdr:rowOff>74612</xdr:rowOff>
    </xdr:from>
    <xdr:to>
      <xdr:col>2</xdr:col>
      <xdr:colOff>713592</xdr:colOff>
      <xdr:row>30</xdr:row>
      <xdr:rowOff>74612</xdr:rowOff>
    </xdr:to>
    <xdr:cxnSp macro="">
      <xdr:nvCxnSpPr>
        <xdr:cNvPr id="7" name="24 Conector recto"/>
        <xdr:cNvCxnSpPr/>
      </xdr:nvCxnSpPr>
      <xdr:spPr>
        <a:xfrm>
          <a:off x="2099519" y="4932362"/>
          <a:ext cx="108012" cy="0"/>
        </a:xfrm>
        <a:prstGeom prst="line">
          <a:avLst/>
        </a:prstGeom>
        <a:ln w="127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598379</xdr:colOff>
      <xdr:row>29</xdr:row>
      <xdr:rowOff>136145</xdr:rowOff>
    </xdr:from>
    <xdr:to>
      <xdr:col>2</xdr:col>
      <xdr:colOff>713592</xdr:colOff>
      <xdr:row>29</xdr:row>
      <xdr:rowOff>136145</xdr:rowOff>
    </xdr:to>
    <xdr:cxnSp macro="">
      <xdr:nvCxnSpPr>
        <xdr:cNvPr id="8" name="25 Conector recto"/>
        <xdr:cNvCxnSpPr/>
      </xdr:nvCxnSpPr>
      <xdr:spPr>
        <a:xfrm>
          <a:off x="2099519" y="4824350"/>
          <a:ext cx="108012" cy="0"/>
        </a:xfrm>
        <a:prstGeom prst="line">
          <a:avLst/>
        </a:prstGeom>
        <a:ln w="127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598379</xdr:colOff>
      <xdr:row>29</xdr:row>
      <xdr:rowOff>44612</xdr:rowOff>
    </xdr:from>
    <xdr:to>
      <xdr:col>2</xdr:col>
      <xdr:colOff>713592</xdr:colOff>
      <xdr:row>29</xdr:row>
      <xdr:rowOff>44612</xdr:rowOff>
    </xdr:to>
    <xdr:cxnSp macro="">
      <xdr:nvCxnSpPr>
        <xdr:cNvPr id="9" name="26 Conector recto"/>
        <xdr:cNvCxnSpPr/>
      </xdr:nvCxnSpPr>
      <xdr:spPr>
        <a:xfrm>
          <a:off x="2099519" y="4740437"/>
          <a:ext cx="108012" cy="0"/>
        </a:xfrm>
        <a:prstGeom prst="line">
          <a:avLst/>
        </a:prstGeom>
        <a:ln w="127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598379</xdr:colOff>
      <xdr:row>28</xdr:row>
      <xdr:rowOff>134529</xdr:rowOff>
    </xdr:from>
    <xdr:to>
      <xdr:col>2</xdr:col>
      <xdr:colOff>713592</xdr:colOff>
      <xdr:row>28</xdr:row>
      <xdr:rowOff>134529</xdr:rowOff>
    </xdr:to>
    <xdr:cxnSp macro="">
      <xdr:nvCxnSpPr>
        <xdr:cNvPr id="10" name="27 Conector recto"/>
        <xdr:cNvCxnSpPr/>
      </xdr:nvCxnSpPr>
      <xdr:spPr>
        <a:xfrm>
          <a:off x="2099519" y="4668429"/>
          <a:ext cx="108012" cy="0"/>
        </a:xfrm>
        <a:prstGeom prst="line">
          <a:avLst/>
        </a:prstGeom>
        <a:ln w="127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598379</xdr:colOff>
      <xdr:row>28</xdr:row>
      <xdr:rowOff>74426</xdr:rowOff>
    </xdr:from>
    <xdr:to>
      <xdr:col>2</xdr:col>
      <xdr:colOff>713592</xdr:colOff>
      <xdr:row>28</xdr:row>
      <xdr:rowOff>74426</xdr:rowOff>
    </xdr:to>
    <xdr:cxnSp macro="">
      <xdr:nvCxnSpPr>
        <xdr:cNvPr id="11" name="28 Conector recto"/>
        <xdr:cNvCxnSpPr/>
      </xdr:nvCxnSpPr>
      <xdr:spPr>
        <a:xfrm>
          <a:off x="2099519" y="4608326"/>
          <a:ext cx="108012" cy="0"/>
        </a:xfrm>
        <a:prstGeom prst="line">
          <a:avLst/>
        </a:prstGeom>
        <a:ln w="127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598379</xdr:colOff>
      <xdr:row>28</xdr:row>
      <xdr:rowOff>11942</xdr:rowOff>
    </xdr:from>
    <xdr:to>
      <xdr:col>2</xdr:col>
      <xdr:colOff>713592</xdr:colOff>
      <xdr:row>28</xdr:row>
      <xdr:rowOff>11942</xdr:rowOff>
    </xdr:to>
    <xdr:cxnSp macro="">
      <xdr:nvCxnSpPr>
        <xdr:cNvPr id="12" name="29 Conector recto"/>
        <xdr:cNvCxnSpPr/>
      </xdr:nvCxnSpPr>
      <xdr:spPr>
        <a:xfrm>
          <a:off x="2099519" y="4545842"/>
          <a:ext cx="108012" cy="0"/>
        </a:xfrm>
        <a:prstGeom prst="line">
          <a:avLst/>
        </a:prstGeom>
        <a:ln w="28575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598379</xdr:colOff>
      <xdr:row>25</xdr:row>
      <xdr:rowOff>104054</xdr:rowOff>
    </xdr:from>
    <xdr:to>
      <xdr:col>2</xdr:col>
      <xdr:colOff>713592</xdr:colOff>
      <xdr:row>25</xdr:row>
      <xdr:rowOff>104054</xdr:rowOff>
    </xdr:to>
    <xdr:cxnSp macro="">
      <xdr:nvCxnSpPr>
        <xdr:cNvPr id="13" name="30 Conector recto"/>
        <xdr:cNvCxnSpPr/>
      </xdr:nvCxnSpPr>
      <xdr:spPr>
        <a:xfrm>
          <a:off x="2099519" y="4152179"/>
          <a:ext cx="108012" cy="0"/>
        </a:xfrm>
        <a:prstGeom prst="line">
          <a:avLst/>
        </a:prstGeom>
        <a:ln w="127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598379</xdr:colOff>
      <xdr:row>24</xdr:row>
      <xdr:rowOff>38050</xdr:rowOff>
    </xdr:from>
    <xdr:to>
      <xdr:col>2</xdr:col>
      <xdr:colOff>713592</xdr:colOff>
      <xdr:row>24</xdr:row>
      <xdr:rowOff>38050</xdr:rowOff>
    </xdr:to>
    <xdr:cxnSp macro="">
      <xdr:nvCxnSpPr>
        <xdr:cNvPr id="14" name="31 Conector recto"/>
        <xdr:cNvCxnSpPr/>
      </xdr:nvCxnSpPr>
      <xdr:spPr>
        <a:xfrm>
          <a:off x="2099519" y="3924250"/>
          <a:ext cx="108012" cy="0"/>
        </a:xfrm>
        <a:prstGeom prst="line">
          <a:avLst/>
        </a:prstGeom>
        <a:ln w="127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598379</xdr:colOff>
      <xdr:row>23</xdr:row>
      <xdr:rowOff>55959</xdr:rowOff>
    </xdr:from>
    <xdr:to>
      <xdr:col>2</xdr:col>
      <xdr:colOff>713592</xdr:colOff>
      <xdr:row>23</xdr:row>
      <xdr:rowOff>55959</xdr:rowOff>
    </xdr:to>
    <xdr:cxnSp macro="">
      <xdr:nvCxnSpPr>
        <xdr:cNvPr id="15" name="32 Conector recto"/>
        <xdr:cNvCxnSpPr/>
      </xdr:nvCxnSpPr>
      <xdr:spPr>
        <a:xfrm>
          <a:off x="2099519" y="3780234"/>
          <a:ext cx="108012" cy="0"/>
        </a:xfrm>
        <a:prstGeom prst="line">
          <a:avLst/>
        </a:prstGeom>
        <a:ln w="127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598379</xdr:colOff>
      <xdr:row>22</xdr:row>
      <xdr:rowOff>95774</xdr:rowOff>
    </xdr:from>
    <xdr:to>
      <xdr:col>2</xdr:col>
      <xdr:colOff>713592</xdr:colOff>
      <xdr:row>22</xdr:row>
      <xdr:rowOff>95774</xdr:rowOff>
    </xdr:to>
    <xdr:cxnSp macro="">
      <xdr:nvCxnSpPr>
        <xdr:cNvPr id="16" name="33 Conector recto"/>
        <xdr:cNvCxnSpPr/>
      </xdr:nvCxnSpPr>
      <xdr:spPr>
        <a:xfrm>
          <a:off x="2099519" y="3650504"/>
          <a:ext cx="108012" cy="0"/>
        </a:xfrm>
        <a:prstGeom prst="line">
          <a:avLst/>
        </a:prstGeom>
        <a:ln w="28575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598379</xdr:colOff>
      <xdr:row>21</xdr:row>
      <xdr:rowOff>161881</xdr:rowOff>
    </xdr:from>
    <xdr:to>
      <xdr:col>2</xdr:col>
      <xdr:colOff>713592</xdr:colOff>
      <xdr:row>21</xdr:row>
      <xdr:rowOff>161881</xdr:rowOff>
    </xdr:to>
    <xdr:cxnSp macro="">
      <xdr:nvCxnSpPr>
        <xdr:cNvPr id="17" name="34 Conector recto"/>
        <xdr:cNvCxnSpPr/>
      </xdr:nvCxnSpPr>
      <xdr:spPr>
        <a:xfrm>
          <a:off x="2099519" y="3554686"/>
          <a:ext cx="108012" cy="0"/>
        </a:xfrm>
        <a:prstGeom prst="line">
          <a:avLst/>
        </a:prstGeom>
        <a:ln w="127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598379</xdr:colOff>
      <xdr:row>21</xdr:row>
      <xdr:rowOff>62916</xdr:rowOff>
    </xdr:from>
    <xdr:to>
      <xdr:col>2</xdr:col>
      <xdr:colOff>713592</xdr:colOff>
      <xdr:row>21</xdr:row>
      <xdr:rowOff>62916</xdr:rowOff>
    </xdr:to>
    <xdr:cxnSp macro="">
      <xdr:nvCxnSpPr>
        <xdr:cNvPr id="18" name="35 Conector recto"/>
        <xdr:cNvCxnSpPr/>
      </xdr:nvCxnSpPr>
      <xdr:spPr>
        <a:xfrm>
          <a:off x="2099519" y="3463341"/>
          <a:ext cx="108012" cy="0"/>
        </a:xfrm>
        <a:prstGeom prst="line">
          <a:avLst/>
        </a:prstGeom>
        <a:ln w="127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598379</xdr:colOff>
      <xdr:row>20</xdr:row>
      <xdr:rowOff>155691</xdr:rowOff>
    </xdr:from>
    <xdr:to>
      <xdr:col>2</xdr:col>
      <xdr:colOff>713592</xdr:colOff>
      <xdr:row>20</xdr:row>
      <xdr:rowOff>155691</xdr:rowOff>
    </xdr:to>
    <xdr:cxnSp macro="">
      <xdr:nvCxnSpPr>
        <xdr:cNvPr id="19" name="36 Conector recto"/>
        <xdr:cNvCxnSpPr/>
      </xdr:nvCxnSpPr>
      <xdr:spPr>
        <a:xfrm>
          <a:off x="2099519" y="3386571"/>
          <a:ext cx="108012" cy="0"/>
        </a:xfrm>
        <a:prstGeom prst="line">
          <a:avLst/>
        </a:prstGeom>
        <a:ln w="127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598379</xdr:colOff>
      <xdr:row>20</xdr:row>
      <xdr:rowOff>93207</xdr:rowOff>
    </xdr:from>
    <xdr:to>
      <xdr:col>2</xdr:col>
      <xdr:colOff>713592</xdr:colOff>
      <xdr:row>20</xdr:row>
      <xdr:rowOff>93207</xdr:rowOff>
    </xdr:to>
    <xdr:cxnSp macro="">
      <xdr:nvCxnSpPr>
        <xdr:cNvPr id="20" name="37 Conector recto"/>
        <xdr:cNvCxnSpPr/>
      </xdr:nvCxnSpPr>
      <xdr:spPr>
        <a:xfrm>
          <a:off x="2099519" y="3324087"/>
          <a:ext cx="108012" cy="0"/>
        </a:xfrm>
        <a:prstGeom prst="line">
          <a:avLst/>
        </a:prstGeom>
        <a:ln w="127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598379</xdr:colOff>
      <xdr:row>20</xdr:row>
      <xdr:rowOff>31581</xdr:rowOff>
    </xdr:from>
    <xdr:to>
      <xdr:col>2</xdr:col>
      <xdr:colOff>713592</xdr:colOff>
      <xdr:row>20</xdr:row>
      <xdr:rowOff>31581</xdr:rowOff>
    </xdr:to>
    <xdr:cxnSp macro="">
      <xdr:nvCxnSpPr>
        <xdr:cNvPr id="21" name="38 Conector recto"/>
        <xdr:cNvCxnSpPr/>
      </xdr:nvCxnSpPr>
      <xdr:spPr>
        <a:xfrm>
          <a:off x="2099519" y="3270081"/>
          <a:ext cx="108012" cy="0"/>
        </a:xfrm>
        <a:prstGeom prst="line">
          <a:avLst/>
        </a:prstGeom>
        <a:ln w="28575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598379</xdr:colOff>
      <xdr:row>17</xdr:row>
      <xdr:rowOff>134552</xdr:rowOff>
    </xdr:from>
    <xdr:to>
      <xdr:col>2</xdr:col>
      <xdr:colOff>713592</xdr:colOff>
      <xdr:row>17</xdr:row>
      <xdr:rowOff>134552</xdr:rowOff>
    </xdr:to>
    <xdr:cxnSp macro="">
      <xdr:nvCxnSpPr>
        <xdr:cNvPr id="22" name="39 Conector recto"/>
        <xdr:cNvCxnSpPr/>
      </xdr:nvCxnSpPr>
      <xdr:spPr>
        <a:xfrm>
          <a:off x="2099519" y="2887277"/>
          <a:ext cx="108012" cy="0"/>
        </a:xfrm>
        <a:prstGeom prst="line">
          <a:avLst/>
        </a:prstGeom>
        <a:ln w="127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598379</xdr:colOff>
      <xdr:row>16</xdr:row>
      <xdr:rowOff>78072</xdr:rowOff>
    </xdr:from>
    <xdr:to>
      <xdr:col>2</xdr:col>
      <xdr:colOff>713592</xdr:colOff>
      <xdr:row>16</xdr:row>
      <xdr:rowOff>78072</xdr:rowOff>
    </xdr:to>
    <xdr:cxnSp macro="">
      <xdr:nvCxnSpPr>
        <xdr:cNvPr id="23" name="40 Conector recto"/>
        <xdr:cNvCxnSpPr/>
      </xdr:nvCxnSpPr>
      <xdr:spPr>
        <a:xfrm>
          <a:off x="2099519" y="2668872"/>
          <a:ext cx="108012" cy="0"/>
        </a:xfrm>
        <a:prstGeom prst="line">
          <a:avLst/>
        </a:prstGeom>
        <a:ln w="28575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598379</xdr:colOff>
      <xdr:row>15</xdr:row>
      <xdr:rowOff>79314</xdr:rowOff>
    </xdr:from>
    <xdr:to>
      <xdr:col>2</xdr:col>
      <xdr:colOff>713592</xdr:colOff>
      <xdr:row>15</xdr:row>
      <xdr:rowOff>79314</xdr:rowOff>
    </xdr:to>
    <xdr:cxnSp macro="">
      <xdr:nvCxnSpPr>
        <xdr:cNvPr id="24" name="41 Conector recto"/>
        <xdr:cNvCxnSpPr/>
      </xdr:nvCxnSpPr>
      <xdr:spPr>
        <a:xfrm>
          <a:off x="2099519" y="2508189"/>
          <a:ext cx="108012" cy="0"/>
        </a:xfrm>
        <a:prstGeom prst="line">
          <a:avLst/>
        </a:prstGeom>
        <a:ln w="127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598379</xdr:colOff>
      <xdr:row>14</xdr:row>
      <xdr:rowOff>126272</xdr:rowOff>
    </xdr:from>
    <xdr:to>
      <xdr:col>2</xdr:col>
      <xdr:colOff>713592</xdr:colOff>
      <xdr:row>14</xdr:row>
      <xdr:rowOff>126272</xdr:rowOff>
    </xdr:to>
    <xdr:cxnSp macro="">
      <xdr:nvCxnSpPr>
        <xdr:cNvPr id="25" name="42 Conector recto"/>
        <xdr:cNvCxnSpPr/>
      </xdr:nvCxnSpPr>
      <xdr:spPr>
        <a:xfrm>
          <a:off x="2099519" y="2385602"/>
          <a:ext cx="108012" cy="0"/>
        </a:xfrm>
        <a:prstGeom prst="line">
          <a:avLst/>
        </a:prstGeom>
        <a:ln w="28575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598379</xdr:colOff>
      <xdr:row>14</xdr:row>
      <xdr:rowOff>20164</xdr:rowOff>
    </xdr:from>
    <xdr:to>
      <xdr:col>2</xdr:col>
      <xdr:colOff>713592</xdr:colOff>
      <xdr:row>14</xdr:row>
      <xdr:rowOff>20164</xdr:rowOff>
    </xdr:to>
    <xdr:cxnSp macro="">
      <xdr:nvCxnSpPr>
        <xdr:cNvPr id="26" name="43 Conector recto"/>
        <xdr:cNvCxnSpPr/>
      </xdr:nvCxnSpPr>
      <xdr:spPr>
        <a:xfrm>
          <a:off x="2099519" y="2287114"/>
          <a:ext cx="108012" cy="0"/>
        </a:xfrm>
        <a:prstGeom prst="line">
          <a:avLst/>
        </a:prstGeom>
        <a:ln w="127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598379</xdr:colOff>
      <xdr:row>13</xdr:row>
      <xdr:rowOff>91033</xdr:rowOff>
    </xdr:from>
    <xdr:to>
      <xdr:col>2</xdr:col>
      <xdr:colOff>713592</xdr:colOff>
      <xdr:row>13</xdr:row>
      <xdr:rowOff>91033</xdr:rowOff>
    </xdr:to>
    <xdr:cxnSp macro="">
      <xdr:nvCxnSpPr>
        <xdr:cNvPr id="27" name="44 Conector recto"/>
        <xdr:cNvCxnSpPr/>
      </xdr:nvCxnSpPr>
      <xdr:spPr>
        <a:xfrm>
          <a:off x="2099519" y="2196058"/>
          <a:ext cx="108012" cy="0"/>
        </a:xfrm>
        <a:prstGeom prst="line">
          <a:avLst/>
        </a:prstGeom>
        <a:ln w="127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598379</xdr:colOff>
      <xdr:row>13</xdr:row>
      <xdr:rowOff>19025</xdr:rowOff>
    </xdr:from>
    <xdr:to>
      <xdr:col>2</xdr:col>
      <xdr:colOff>713592</xdr:colOff>
      <xdr:row>13</xdr:row>
      <xdr:rowOff>19025</xdr:rowOff>
    </xdr:to>
    <xdr:cxnSp macro="">
      <xdr:nvCxnSpPr>
        <xdr:cNvPr id="28" name="45 Conector recto"/>
        <xdr:cNvCxnSpPr/>
      </xdr:nvCxnSpPr>
      <xdr:spPr>
        <a:xfrm>
          <a:off x="2099519" y="2124050"/>
          <a:ext cx="108012" cy="0"/>
        </a:xfrm>
        <a:prstGeom prst="line">
          <a:avLst/>
        </a:prstGeom>
        <a:ln w="127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598379</xdr:colOff>
      <xdr:row>12</xdr:row>
      <xdr:rowOff>128467</xdr:rowOff>
    </xdr:from>
    <xdr:to>
      <xdr:col>2</xdr:col>
      <xdr:colOff>713592</xdr:colOff>
      <xdr:row>12</xdr:row>
      <xdr:rowOff>128467</xdr:rowOff>
    </xdr:to>
    <xdr:cxnSp macro="">
      <xdr:nvCxnSpPr>
        <xdr:cNvPr id="29" name="46 Conector recto"/>
        <xdr:cNvCxnSpPr/>
      </xdr:nvCxnSpPr>
      <xdr:spPr>
        <a:xfrm>
          <a:off x="2099519" y="2063947"/>
          <a:ext cx="108012" cy="0"/>
        </a:xfrm>
        <a:prstGeom prst="line">
          <a:avLst/>
        </a:prstGeom>
        <a:ln w="127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598379</xdr:colOff>
      <xdr:row>12</xdr:row>
      <xdr:rowOff>65795</xdr:rowOff>
    </xdr:from>
    <xdr:to>
      <xdr:col>2</xdr:col>
      <xdr:colOff>713592</xdr:colOff>
      <xdr:row>12</xdr:row>
      <xdr:rowOff>65795</xdr:rowOff>
    </xdr:to>
    <xdr:cxnSp macro="">
      <xdr:nvCxnSpPr>
        <xdr:cNvPr id="30" name="47 Conector recto"/>
        <xdr:cNvCxnSpPr/>
      </xdr:nvCxnSpPr>
      <xdr:spPr>
        <a:xfrm>
          <a:off x="2099519" y="2008895"/>
          <a:ext cx="108012" cy="0"/>
        </a:xfrm>
        <a:prstGeom prst="line">
          <a:avLst/>
        </a:prstGeom>
        <a:ln w="28575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598379</xdr:colOff>
      <xdr:row>10</xdr:row>
      <xdr:rowOff>744</xdr:rowOff>
    </xdr:from>
    <xdr:to>
      <xdr:col>2</xdr:col>
      <xdr:colOff>713592</xdr:colOff>
      <xdr:row>10</xdr:row>
      <xdr:rowOff>744</xdr:rowOff>
    </xdr:to>
    <xdr:cxnSp macro="">
      <xdr:nvCxnSpPr>
        <xdr:cNvPr id="31" name="48 Conector recto"/>
        <xdr:cNvCxnSpPr/>
      </xdr:nvCxnSpPr>
      <xdr:spPr>
        <a:xfrm>
          <a:off x="2099519" y="1619994"/>
          <a:ext cx="108012" cy="0"/>
        </a:xfrm>
        <a:prstGeom prst="line">
          <a:avLst/>
        </a:prstGeom>
        <a:ln w="28575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598379</xdr:colOff>
      <xdr:row>8</xdr:row>
      <xdr:rowOff>108570</xdr:rowOff>
    </xdr:from>
    <xdr:to>
      <xdr:col>2</xdr:col>
      <xdr:colOff>713592</xdr:colOff>
      <xdr:row>8</xdr:row>
      <xdr:rowOff>108570</xdr:rowOff>
    </xdr:to>
    <xdr:cxnSp macro="">
      <xdr:nvCxnSpPr>
        <xdr:cNvPr id="32" name="49 Conector recto"/>
        <xdr:cNvCxnSpPr/>
      </xdr:nvCxnSpPr>
      <xdr:spPr>
        <a:xfrm>
          <a:off x="2099519" y="1403970"/>
          <a:ext cx="108012" cy="0"/>
        </a:xfrm>
        <a:prstGeom prst="line">
          <a:avLst/>
        </a:prstGeom>
        <a:ln w="28575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598379</xdr:colOff>
      <xdr:row>7</xdr:row>
      <xdr:rowOff>104761</xdr:rowOff>
    </xdr:from>
    <xdr:to>
      <xdr:col>2</xdr:col>
      <xdr:colOff>713592</xdr:colOff>
      <xdr:row>7</xdr:row>
      <xdr:rowOff>104761</xdr:rowOff>
    </xdr:to>
    <xdr:cxnSp macro="">
      <xdr:nvCxnSpPr>
        <xdr:cNvPr id="33" name="50 Conector recto"/>
        <xdr:cNvCxnSpPr/>
      </xdr:nvCxnSpPr>
      <xdr:spPr>
        <a:xfrm>
          <a:off x="2099519" y="1238236"/>
          <a:ext cx="108012" cy="0"/>
        </a:xfrm>
        <a:prstGeom prst="line">
          <a:avLst/>
        </a:prstGeom>
        <a:ln w="28575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598379</xdr:colOff>
      <xdr:row>6</xdr:row>
      <xdr:rowOff>159151</xdr:rowOff>
    </xdr:from>
    <xdr:to>
      <xdr:col>2</xdr:col>
      <xdr:colOff>713592</xdr:colOff>
      <xdr:row>6</xdr:row>
      <xdr:rowOff>159151</xdr:rowOff>
    </xdr:to>
    <xdr:cxnSp macro="">
      <xdr:nvCxnSpPr>
        <xdr:cNvPr id="34" name="51 Conector recto"/>
        <xdr:cNvCxnSpPr/>
      </xdr:nvCxnSpPr>
      <xdr:spPr>
        <a:xfrm>
          <a:off x="2099519" y="1123081"/>
          <a:ext cx="108012" cy="0"/>
        </a:xfrm>
        <a:prstGeom prst="line">
          <a:avLst/>
        </a:prstGeom>
        <a:ln w="28575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598379</xdr:colOff>
      <xdr:row>6</xdr:row>
      <xdr:rowOff>50662</xdr:rowOff>
    </xdr:from>
    <xdr:to>
      <xdr:col>2</xdr:col>
      <xdr:colOff>713592</xdr:colOff>
      <xdr:row>6</xdr:row>
      <xdr:rowOff>50662</xdr:rowOff>
    </xdr:to>
    <xdr:cxnSp macro="">
      <xdr:nvCxnSpPr>
        <xdr:cNvPr id="35" name="52 Conector recto"/>
        <xdr:cNvCxnSpPr/>
      </xdr:nvCxnSpPr>
      <xdr:spPr>
        <a:xfrm>
          <a:off x="2099519" y="1022212"/>
          <a:ext cx="108012" cy="0"/>
        </a:xfrm>
        <a:prstGeom prst="line">
          <a:avLst/>
        </a:prstGeom>
        <a:ln w="127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598379</xdr:colOff>
      <xdr:row>5</xdr:row>
      <xdr:rowOff>133913</xdr:rowOff>
    </xdr:from>
    <xdr:to>
      <xdr:col>2</xdr:col>
      <xdr:colOff>713592</xdr:colOff>
      <xdr:row>5</xdr:row>
      <xdr:rowOff>133913</xdr:rowOff>
    </xdr:to>
    <xdr:cxnSp macro="">
      <xdr:nvCxnSpPr>
        <xdr:cNvPr id="36" name="53 Conector recto"/>
        <xdr:cNvCxnSpPr/>
      </xdr:nvCxnSpPr>
      <xdr:spPr>
        <a:xfrm>
          <a:off x="2099519" y="935918"/>
          <a:ext cx="108012" cy="0"/>
        </a:xfrm>
        <a:prstGeom prst="line">
          <a:avLst/>
        </a:prstGeom>
        <a:ln w="127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598379</xdr:colOff>
      <xdr:row>4</xdr:row>
      <xdr:rowOff>91266</xdr:rowOff>
    </xdr:from>
    <xdr:to>
      <xdr:col>2</xdr:col>
      <xdr:colOff>713592</xdr:colOff>
      <xdr:row>4</xdr:row>
      <xdr:rowOff>91266</xdr:rowOff>
    </xdr:to>
    <xdr:cxnSp macro="">
      <xdr:nvCxnSpPr>
        <xdr:cNvPr id="37" name="54 Conector recto"/>
        <xdr:cNvCxnSpPr/>
      </xdr:nvCxnSpPr>
      <xdr:spPr>
        <a:xfrm>
          <a:off x="2099519" y="738966"/>
          <a:ext cx="108012" cy="0"/>
        </a:xfrm>
        <a:prstGeom prst="line">
          <a:avLst/>
        </a:prstGeom>
        <a:ln w="28575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598379</xdr:colOff>
      <xdr:row>4</xdr:row>
      <xdr:rowOff>146583</xdr:rowOff>
    </xdr:from>
    <xdr:to>
      <xdr:col>2</xdr:col>
      <xdr:colOff>713592</xdr:colOff>
      <xdr:row>4</xdr:row>
      <xdr:rowOff>146583</xdr:rowOff>
    </xdr:to>
    <xdr:cxnSp macro="">
      <xdr:nvCxnSpPr>
        <xdr:cNvPr id="38" name="55 Conector recto"/>
        <xdr:cNvCxnSpPr/>
      </xdr:nvCxnSpPr>
      <xdr:spPr>
        <a:xfrm>
          <a:off x="2099519" y="794283"/>
          <a:ext cx="108012" cy="0"/>
        </a:xfrm>
        <a:prstGeom prst="line">
          <a:avLst/>
        </a:prstGeom>
        <a:ln w="127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598379</xdr:colOff>
      <xdr:row>5</xdr:row>
      <xdr:rowOff>54285</xdr:rowOff>
    </xdr:from>
    <xdr:to>
      <xdr:col>2</xdr:col>
      <xdr:colOff>713592</xdr:colOff>
      <xdr:row>5</xdr:row>
      <xdr:rowOff>54285</xdr:rowOff>
    </xdr:to>
    <xdr:cxnSp macro="">
      <xdr:nvCxnSpPr>
        <xdr:cNvPr id="39" name="56 Conector recto"/>
        <xdr:cNvCxnSpPr/>
      </xdr:nvCxnSpPr>
      <xdr:spPr>
        <a:xfrm>
          <a:off x="2099519" y="863910"/>
          <a:ext cx="108012" cy="0"/>
        </a:xfrm>
        <a:prstGeom prst="line">
          <a:avLst/>
        </a:prstGeom>
        <a:ln w="127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</xdr:row>
      <xdr:rowOff>1403</xdr:rowOff>
    </xdr:from>
    <xdr:to>
      <xdr:col>2</xdr:col>
      <xdr:colOff>562879</xdr:colOff>
      <xdr:row>5</xdr:row>
      <xdr:rowOff>1382</xdr:rowOff>
    </xdr:to>
    <xdr:sp macro="" textlink="">
      <xdr:nvSpPr>
        <xdr:cNvPr id="40" name="14 CuadroTexto"/>
        <xdr:cNvSpPr txBox="1"/>
      </xdr:nvSpPr>
      <xdr:spPr>
        <a:xfrm>
          <a:off x="1524000" y="649103"/>
          <a:ext cx="540060" cy="161904"/>
        </a:xfrm>
        <a:prstGeom prst="rect">
          <a:avLst/>
        </a:prstGeom>
        <a:noFill/>
      </xdr:spPr>
      <xdr:txBody>
        <a:bodyPr wrap="square" lIns="0" tIns="0" rIns="0" bIns="0" rtlCol="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9pPr>
        </a:lstStyle>
        <a:p>
          <a:pPr algn="r"/>
          <a:r>
            <a:rPr lang="es-ES" sz="1100" b="1">
              <a:latin typeface="Arial Narrow" pitchFamily="34" charset="0"/>
            </a:rPr>
            <a:t>1.00</a:t>
          </a:r>
        </a:p>
      </xdr:txBody>
    </xdr:sp>
    <xdr:clientData/>
  </xdr:twoCellAnchor>
  <xdr:twoCellAnchor>
    <xdr:from>
      <xdr:col>2</xdr:col>
      <xdr:colOff>0</xdr:colOff>
      <xdr:row>6</xdr:row>
      <xdr:rowOff>66892</xdr:rowOff>
    </xdr:from>
    <xdr:to>
      <xdr:col>2</xdr:col>
      <xdr:colOff>562879</xdr:colOff>
      <xdr:row>7</xdr:row>
      <xdr:rowOff>66871</xdr:rowOff>
    </xdr:to>
    <xdr:sp macro="" textlink="">
      <xdr:nvSpPr>
        <xdr:cNvPr id="41" name="58 CuadroTexto"/>
        <xdr:cNvSpPr txBox="1"/>
      </xdr:nvSpPr>
      <xdr:spPr>
        <a:xfrm>
          <a:off x="1524000" y="1038442"/>
          <a:ext cx="540060" cy="161904"/>
        </a:xfrm>
        <a:prstGeom prst="rect">
          <a:avLst/>
        </a:prstGeom>
        <a:noFill/>
      </xdr:spPr>
      <xdr:txBody>
        <a:bodyPr wrap="square" lIns="0" tIns="0" rIns="0" bIns="0" rtlCol="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9pPr>
        </a:lstStyle>
        <a:p>
          <a:pPr algn="r"/>
          <a:r>
            <a:rPr lang="es-ES" sz="1100" b="1">
              <a:latin typeface="Arial Narrow" pitchFamily="34" charset="0"/>
            </a:rPr>
            <a:t>0.50</a:t>
          </a:r>
        </a:p>
      </xdr:txBody>
    </xdr:sp>
    <xdr:clientData/>
  </xdr:twoCellAnchor>
  <xdr:twoCellAnchor>
    <xdr:from>
      <xdr:col>2</xdr:col>
      <xdr:colOff>0</xdr:colOff>
      <xdr:row>8</xdr:row>
      <xdr:rowOff>21987</xdr:rowOff>
    </xdr:from>
    <xdr:to>
      <xdr:col>2</xdr:col>
      <xdr:colOff>562879</xdr:colOff>
      <xdr:row>9</xdr:row>
      <xdr:rowOff>21966</xdr:rowOff>
    </xdr:to>
    <xdr:sp macro="" textlink="">
      <xdr:nvSpPr>
        <xdr:cNvPr id="42" name="59 CuadroTexto"/>
        <xdr:cNvSpPr txBox="1"/>
      </xdr:nvSpPr>
      <xdr:spPr>
        <a:xfrm>
          <a:off x="1524000" y="1317387"/>
          <a:ext cx="540060" cy="161904"/>
        </a:xfrm>
        <a:prstGeom prst="rect">
          <a:avLst/>
        </a:prstGeom>
        <a:noFill/>
      </xdr:spPr>
      <xdr:txBody>
        <a:bodyPr wrap="square" lIns="0" tIns="0" rIns="0" bIns="0" rtlCol="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9pPr>
        </a:lstStyle>
        <a:p>
          <a:pPr algn="r"/>
          <a:r>
            <a:rPr lang="es-ES" sz="1100" b="1">
              <a:latin typeface="Arial Narrow" pitchFamily="34" charset="0"/>
            </a:rPr>
            <a:t>0.30</a:t>
          </a:r>
        </a:p>
      </xdr:txBody>
    </xdr:sp>
    <xdr:clientData/>
  </xdr:twoCellAnchor>
  <xdr:twoCellAnchor>
    <xdr:from>
      <xdr:col>2</xdr:col>
      <xdr:colOff>0</xdr:colOff>
      <xdr:row>9</xdr:row>
      <xdr:rowOff>78030</xdr:rowOff>
    </xdr:from>
    <xdr:to>
      <xdr:col>2</xdr:col>
      <xdr:colOff>562879</xdr:colOff>
      <xdr:row>10</xdr:row>
      <xdr:rowOff>78009</xdr:rowOff>
    </xdr:to>
    <xdr:sp macro="" textlink="">
      <xdr:nvSpPr>
        <xdr:cNvPr id="43" name="60 CuadroTexto"/>
        <xdr:cNvSpPr txBox="1"/>
      </xdr:nvSpPr>
      <xdr:spPr>
        <a:xfrm>
          <a:off x="1524000" y="1535355"/>
          <a:ext cx="540060" cy="161904"/>
        </a:xfrm>
        <a:prstGeom prst="rect">
          <a:avLst/>
        </a:prstGeom>
        <a:noFill/>
      </xdr:spPr>
      <xdr:txBody>
        <a:bodyPr wrap="square" lIns="0" tIns="0" rIns="0" bIns="0" rtlCol="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9pPr>
        </a:lstStyle>
        <a:p>
          <a:pPr algn="r"/>
          <a:r>
            <a:rPr lang="es-ES" sz="1100" b="1">
              <a:latin typeface="Arial Narrow" pitchFamily="34" charset="0"/>
            </a:rPr>
            <a:t>0.20</a:t>
          </a:r>
        </a:p>
      </xdr:txBody>
    </xdr:sp>
    <xdr:clientData/>
  </xdr:twoCellAnchor>
  <xdr:twoCellAnchor>
    <xdr:from>
      <xdr:col>2</xdr:col>
      <xdr:colOff>0</xdr:colOff>
      <xdr:row>11</xdr:row>
      <xdr:rowOff>143081</xdr:rowOff>
    </xdr:from>
    <xdr:to>
      <xdr:col>2</xdr:col>
      <xdr:colOff>562879</xdr:colOff>
      <xdr:row>12</xdr:row>
      <xdr:rowOff>143060</xdr:rowOff>
    </xdr:to>
    <xdr:sp macro="" textlink="">
      <xdr:nvSpPr>
        <xdr:cNvPr id="44" name="61 CuadroTexto"/>
        <xdr:cNvSpPr txBox="1"/>
      </xdr:nvSpPr>
      <xdr:spPr>
        <a:xfrm>
          <a:off x="1524000" y="1924256"/>
          <a:ext cx="540060" cy="161904"/>
        </a:xfrm>
        <a:prstGeom prst="rect">
          <a:avLst/>
        </a:prstGeom>
        <a:noFill/>
      </xdr:spPr>
      <xdr:txBody>
        <a:bodyPr wrap="square" lIns="0" tIns="0" rIns="0" bIns="0" rtlCol="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9pPr>
        </a:lstStyle>
        <a:p>
          <a:pPr algn="r"/>
          <a:r>
            <a:rPr lang="es-ES" sz="1100" b="1">
              <a:latin typeface="Arial Narrow" pitchFamily="34" charset="0"/>
            </a:rPr>
            <a:t>0.10</a:t>
          </a:r>
        </a:p>
      </xdr:txBody>
    </xdr:sp>
    <xdr:clientData/>
  </xdr:twoCellAnchor>
  <xdr:twoCellAnchor>
    <xdr:from>
      <xdr:col>2</xdr:col>
      <xdr:colOff>0</xdr:colOff>
      <xdr:row>14</xdr:row>
      <xdr:rowOff>34013</xdr:rowOff>
    </xdr:from>
    <xdr:to>
      <xdr:col>2</xdr:col>
      <xdr:colOff>562879</xdr:colOff>
      <xdr:row>15</xdr:row>
      <xdr:rowOff>33992</xdr:rowOff>
    </xdr:to>
    <xdr:sp macro="" textlink="">
      <xdr:nvSpPr>
        <xdr:cNvPr id="45" name="62 CuadroTexto"/>
        <xdr:cNvSpPr txBox="1"/>
      </xdr:nvSpPr>
      <xdr:spPr>
        <a:xfrm>
          <a:off x="1524000" y="2300963"/>
          <a:ext cx="540060" cy="161904"/>
        </a:xfrm>
        <a:prstGeom prst="rect">
          <a:avLst/>
        </a:prstGeom>
        <a:noFill/>
      </xdr:spPr>
      <xdr:txBody>
        <a:bodyPr wrap="square" lIns="0" tIns="0" rIns="0" bIns="0" rtlCol="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9pPr>
        </a:lstStyle>
        <a:p>
          <a:pPr algn="r"/>
          <a:r>
            <a:rPr lang="es-ES" sz="1100" b="1">
              <a:latin typeface="Arial Narrow" pitchFamily="34" charset="0"/>
            </a:rPr>
            <a:t>0.05</a:t>
          </a:r>
        </a:p>
      </xdr:txBody>
    </xdr:sp>
    <xdr:clientData/>
  </xdr:twoCellAnchor>
  <xdr:twoCellAnchor>
    <xdr:from>
      <xdr:col>2</xdr:col>
      <xdr:colOff>0</xdr:colOff>
      <xdr:row>15</xdr:row>
      <xdr:rowOff>162978</xdr:rowOff>
    </xdr:from>
    <xdr:to>
      <xdr:col>2</xdr:col>
      <xdr:colOff>562879</xdr:colOff>
      <xdr:row>16</xdr:row>
      <xdr:rowOff>162957</xdr:rowOff>
    </xdr:to>
    <xdr:sp macro="" textlink="">
      <xdr:nvSpPr>
        <xdr:cNvPr id="46" name="63 CuadroTexto"/>
        <xdr:cNvSpPr txBox="1"/>
      </xdr:nvSpPr>
      <xdr:spPr>
        <a:xfrm>
          <a:off x="1524000" y="2584233"/>
          <a:ext cx="540060" cy="161904"/>
        </a:xfrm>
        <a:prstGeom prst="rect">
          <a:avLst/>
        </a:prstGeom>
        <a:noFill/>
      </xdr:spPr>
      <xdr:txBody>
        <a:bodyPr wrap="square" lIns="0" tIns="0" rIns="0" bIns="0" rtlCol="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9pPr>
        </a:lstStyle>
        <a:p>
          <a:pPr algn="r"/>
          <a:r>
            <a:rPr lang="es-ES" sz="1100" b="1">
              <a:latin typeface="Arial Narrow" pitchFamily="34" charset="0"/>
            </a:rPr>
            <a:t>0.03</a:t>
          </a:r>
        </a:p>
      </xdr:txBody>
    </xdr:sp>
    <xdr:clientData/>
  </xdr:twoCellAnchor>
  <xdr:twoCellAnchor>
    <xdr:from>
      <xdr:col>2</xdr:col>
      <xdr:colOff>0</xdr:colOff>
      <xdr:row>19</xdr:row>
      <xdr:rowOff>108867</xdr:rowOff>
    </xdr:from>
    <xdr:to>
      <xdr:col>2</xdr:col>
      <xdr:colOff>562879</xdr:colOff>
      <xdr:row>20</xdr:row>
      <xdr:rowOff>108846</xdr:rowOff>
    </xdr:to>
    <xdr:sp macro="" textlink="">
      <xdr:nvSpPr>
        <xdr:cNvPr id="47" name="64 CuadroTexto"/>
        <xdr:cNvSpPr txBox="1"/>
      </xdr:nvSpPr>
      <xdr:spPr>
        <a:xfrm>
          <a:off x="1524000" y="3185442"/>
          <a:ext cx="540060" cy="161904"/>
        </a:xfrm>
        <a:prstGeom prst="rect">
          <a:avLst/>
        </a:prstGeom>
        <a:noFill/>
      </xdr:spPr>
      <xdr:txBody>
        <a:bodyPr wrap="square" lIns="0" tIns="0" rIns="0" bIns="0" rtlCol="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9pPr>
        </a:lstStyle>
        <a:p>
          <a:pPr algn="r"/>
          <a:r>
            <a:rPr lang="es-ES" sz="1100" b="1">
              <a:latin typeface="Arial Narrow" pitchFamily="34" charset="0"/>
            </a:rPr>
            <a:t>0.01</a:t>
          </a:r>
        </a:p>
      </xdr:txBody>
    </xdr:sp>
    <xdr:clientData/>
  </xdr:twoCellAnchor>
  <xdr:twoCellAnchor>
    <xdr:from>
      <xdr:col>2</xdr:col>
      <xdr:colOff>0</xdr:colOff>
      <xdr:row>22</xdr:row>
      <xdr:rowOff>3515</xdr:rowOff>
    </xdr:from>
    <xdr:to>
      <xdr:col>2</xdr:col>
      <xdr:colOff>562879</xdr:colOff>
      <xdr:row>23</xdr:row>
      <xdr:rowOff>3494</xdr:rowOff>
    </xdr:to>
    <xdr:sp macro="" textlink="">
      <xdr:nvSpPr>
        <xdr:cNvPr id="48" name="65 CuadroTexto"/>
        <xdr:cNvSpPr txBox="1"/>
      </xdr:nvSpPr>
      <xdr:spPr>
        <a:xfrm>
          <a:off x="1524000" y="3565865"/>
          <a:ext cx="540060" cy="161904"/>
        </a:xfrm>
        <a:prstGeom prst="rect">
          <a:avLst/>
        </a:prstGeom>
        <a:noFill/>
      </xdr:spPr>
      <xdr:txBody>
        <a:bodyPr wrap="square" lIns="0" tIns="0" rIns="0" bIns="0" rtlCol="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9pPr>
        </a:lstStyle>
        <a:p>
          <a:pPr algn="r"/>
          <a:r>
            <a:rPr lang="es-ES" sz="1100" b="1">
              <a:latin typeface="Arial Narrow" pitchFamily="34" charset="0"/>
            </a:rPr>
            <a:t>5·10</a:t>
          </a:r>
          <a:r>
            <a:rPr lang="es-ES" sz="1100" b="1" baseline="30000">
              <a:latin typeface="Arial Narrow" pitchFamily="34" charset="0"/>
            </a:rPr>
            <a:t>-3</a:t>
          </a:r>
        </a:p>
      </xdr:txBody>
    </xdr:sp>
    <xdr:clientData/>
  </xdr:twoCellAnchor>
  <xdr:twoCellAnchor>
    <xdr:from>
      <xdr:col>2</xdr:col>
      <xdr:colOff>0</xdr:colOff>
      <xdr:row>27</xdr:row>
      <xdr:rowOff>96848</xdr:rowOff>
    </xdr:from>
    <xdr:to>
      <xdr:col>2</xdr:col>
      <xdr:colOff>562879</xdr:colOff>
      <xdr:row>28</xdr:row>
      <xdr:rowOff>96827</xdr:rowOff>
    </xdr:to>
    <xdr:sp macro="" textlink="">
      <xdr:nvSpPr>
        <xdr:cNvPr id="49" name="66 CuadroTexto"/>
        <xdr:cNvSpPr txBox="1"/>
      </xdr:nvSpPr>
      <xdr:spPr>
        <a:xfrm>
          <a:off x="1524000" y="4461203"/>
          <a:ext cx="540060" cy="161904"/>
        </a:xfrm>
        <a:prstGeom prst="rect">
          <a:avLst/>
        </a:prstGeom>
        <a:noFill/>
      </xdr:spPr>
      <xdr:txBody>
        <a:bodyPr wrap="square" lIns="0" tIns="0" rIns="0" bIns="0" rtlCol="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9pPr>
        </a:lstStyle>
        <a:p>
          <a:pPr algn="r"/>
          <a:r>
            <a:rPr lang="es-ES" sz="1100" b="1">
              <a:latin typeface="Arial Narrow" pitchFamily="34" charset="0"/>
            </a:rPr>
            <a:t>10</a:t>
          </a:r>
          <a:r>
            <a:rPr lang="es-ES" sz="1100" b="1" baseline="30000">
              <a:latin typeface="Arial Narrow" pitchFamily="34" charset="0"/>
            </a:rPr>
            <a:t>-3</a:t>
          </a:r>
        </a:p>
      </xdr:txBody>
    </xdr:sp>
    <xdr:clientData/>
  </xdr:twoCellAnchor>
  <xdr:twoCellAnchor>
    <xdr:from>
      <xdr:col>2</xdr:col>
      <xdr:colOff>0</xdr:colOff>
      <xdr:row>31</xdr:row>
      <xdr:rowOff>106556</xdr:rowOff>
    </xdr:from>
    <xdr:to>
      <xdr:col>2</xdr:col>
      <xdr:colOff>562879</xdr:colOff>
      <xdr:row>32</xdr:row>
      <xdr:rowOff>106535</xdr:rowOff>
    </xdr:to>
    <xdr:sp macro="" textlink="">
      <xdr:nvSpPr>
        <xdr:cNvPr id="50" name="67 CuadroTexto"/>
        <xdr:cNvSpPr txBox="1"/>
      </xdr:nvSpPr>
      <xdr:spPr>
        <a:xfrm>
          <a:off x="1524000" y="5126231"/>
          <a:ext cx="540060" cy="161904"/>
        </a:xfrm>
        <a:prstGeom prst="rect">
          <a:avLst/>
        </a:prstGeom>
        <a:noFill/>
      </xdr:spPr>
      <xdr:txBody>
        <a:bodyPr wrap="square" lIns="0" tIns="0" rIns="0" bIns="0" rtlCol="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9pPr>
        </a:lstStyle>
        <a:p>
          <a:pPr algn="r"/>
          <a:r>
            <a:rPr lang="es-ES" sz="1100" b="1">
              <a:latin typeface="Arial Narrow" pitchFamily="34" charset="0"/>
            </a:rPr>
            <a:t>3·10</a:t>
          </a:r>
          <a:r>
            <a:rPr lang="es-ES" sz="1100" b="1" baseline="30000">
              <a:latin typeface="Arial Narrow" pitchFamily="34" charset="0"/>
            </a:rPr>
            <a:t>-4</a:t>
          </a:r>
        </a:p>
      </xdr:txBody>
    </xdr:sp>
    <xdr:clientData/>
  </xdr:twoCellAnchor>
  <xdr:twoCellAnchor>
    <xdr:from>
      <xdr:col>2</xdr:col>
      <xdr:colOff>15708</xdr:colOff>
      <xdr:row>35</xdr:row>
      <xdr:rowOff>61991</xdr:rowOff>
    </xdr:from>
    <xdr:to>
      <xdr:col>2</xdr:col>
      <xdr:colOff>571198</xdr:colOff>
      <xdr:row>36</xdr:row>
      <xdr:rowOff>61970</xdr:rowOff>
    </xdr:to>
    <xdr:sp macro="" textlink="">
      <xdr:nvSpPr>
        <xdr:cNvPr id="51" name="68 CuadroTexto"/>
        <xdr:cNvSpPr txBox="1"/>
      </xdr:nvSpPr>
      <xdr:spPr>
        <a:xfrm>
          <a:off x="1539708" y="5729366"/>
          <a:ext cx="540060" cy="161904"/>
        </a:xfrm>
        <a:prstGeom prst="rect">
          <a:avLst/>
        </a:prstGeom>
        <a:noFill/>
      </xdr:spPr>
      <xdr:txBody>
        <a:bodyPr wrap="square" lIns="0" tIns="0" rIns="0" bIns="0" rtlCol="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9pPr>
        </a:lstStyle>
        <a:p>
          <a:pPr algn="r"/>
          <a:r>
            <a:rPr lang="es-ES" sz="1100" b="1">
              <a:latin typeface="Arial Narrow" pitchFamily="34" charset="0"/>
            </a:rPr>
            <a:t>10</a:t>
          </a:r>
          <a:r>
            <a:rPr lang="es-ES" sz="1100" b="1" baseline="30000">
              <a:latin typeface="Arial Narrow" pitchFamily="34" charset="0"/>
            </a:rPr>
            <a:t>-4</a:t>
          </a:r>
        </a:p>
      </xdr:txBody>
    </xdr:sp>
    <xdr:clientData/>
  </xdr:twoCellAnchor>
  <xdr:twoCellAnchor>
    <xdr:from>
      <xdr:col>6</xdr:col>
      <xdr:colOff>688511</xdr:colOff>
      <xdr:row>6</xdr:row>
      <xdr:rowOff>41575</xdr:rowOff>
    </xdr:from>
    <xdr:to>
      <xdr:col>6</xdr:col>
      <xdr:colOff>688511</xdr:colOff>
      <xdr:row>9</xdr:row>
      <xdr:rowOff>29339</xdr:rowOff>
    </xdr:to>
    <xdr:cxnSp macro="">
      <xdr:nvCxnSpPr>
        <xdr:cNvPr id="52" name="16 Conector recto"/>
        <xdr:cNvCxnSpPr/>
      </xdr:nvCxnSpPr>
      <xdr:spPr>
        <a:xfrm>
          <a:off x="5230031" y="1013125"/>
          <a:ext cx="0" cy="473539"/>
        </a:xfrm>
        <a:prstGeom prst="line">
          <a:avLst/>
        </a:prstGeom>
        <a:ln w="1905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630457</xdr:colOff>
      <xdr:row>6</xdr:row>
      <xdr:rowOff>41575</xdr:rowOff>
    </xdr:from>
    <xdr:to>
      <xdr:col>6</xdr:col>
      <xdr:colOff>731325</xdr:colOff>
      <xdr:row>6</xdr:row>
      <xdr:rowOff>41575</xdr:rowOff>
    </xdr:to>
    <xdr:cxnSp macro="">
      <xdr:nvCxnSpPr>
        <xdr:cNvPr id="53" name="72 Conector recto"/>
        <xdr:cNvCxnSpPr/>
      </xdr:nvCxnSpPr>
      <xdr:spPr>
        <a:xfrm flipH="1">
          <a:off x="5179597" y="1013125"/>
          <a:ext cx="100868" cy="0"/>
        </a:xfrm>
        <a:prstGeom prst="line">
          <a:avLst/>
        </a:prstGeom>
        <a:ln w="1905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630457</xdr:colOff>
      <xdr:row>9</xdr:row>
      <xdr:rowOff>22196</xdr:rowOff>
    </xdr:from>
    <xdr:to>
      <xdr:col>6</xdr:col>
      <xdr:colOff>731325</xdr:colOff>
      <xdr:row>9</xdr:row>
      <xdr:rowOff>22196</xdr:rowOff>
    </xdr:to>
    <xdr:cxnSp macro="">
      <xdr:nvCxnSpPr>
        <xdr:cNvPr id="54" name="75 Conector recto"/>
        <xdr:cNvCxnSpPr/>
      </xdr:nvCxnSpPr>
      <xdr:spPr>
        <a:xfrm flipH="1">
          <a:off x="5179597" y="1479521"/>
          <a:ext cx="100868" cy="0"/>
        </a:xfrm>
        <a:prstGeom prst="line">
          <a:avLst/>
        </a:prstGeom>
        <a:ln w="1905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652507</xdr:colOff>
      <xdr:row>7</xdr:row>
      <xdr:rowOff>124039</xdr:rowOff>
    </xdr:from>
    <xdr:to>
      <xdr:col>6</xdr:col>
      <xdr:colOff>724515</xdr:colOff>
      <xdr:row>7</xdr:row>
      <xdr:rowOff>124039</xdr:rowOff>
    </xdr:to>
    <xdr:cxnSp macro="">
      <xdr:nvCxnSpPr>
        <xdr:cNvPr id="55" name="163967 Conector recto"/>
        <xdr:cNvCxnSpPr/>
      </xdr:nvCxnSpPr>
      <xdr:spPr>
        <a:xfrm>
          <a:off x="5194027" y="1249894"/>
          <a:ext cx="7200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724515</xdr:colOff>
      <xdr:row>6</xdr:row>
      <xdr:rowOff>162853</xdr:rowOff>
    </xdr:from>
    <xdr:to>
      <xdr:col>7</xdr:col>
      <xdr:colOff>191637</xdr:colOff>
      <xdr:row>8</xdr:row>
      <xdr:rowOff>67062</xdr:rowOff>
    </xdr:to>
    <xdr:sp macro="" textlink="">
      <xdr:nvSpPr>
        <xdr:cNvPr id="56" name="163968 CuadroTexto"/>
        <xdr:cNvSpPr txBox="1"/>
      </xdr:nvSpPr>
      <xdr:spPr>
        <a:xfrm>
          <a:off x="5479395" y="1168693"/>
          <a:ext cx="259602" cy="23948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9pPr>
        </a:lstStyle>
        <a:p>
          <a:r>
            <a:rPr lang="es-ES" sz="1000">
              <a:latin typeface="Arial Narrow" pitchFamily="34" charset="0"/>
            </a:rPr>
            <a:t>3</a:t>
          </a:r>
        </a:p>
      </xdr:txBody>
    </xdr:sp>
    <xdr:clientData/>
  </xdr:twoCellAnchor>
  <xdr:twoCellAnchor>
    <xdr:from>
      <xdr:col>6</xdr:col>
      <xdr:colOff>690892</xdr:colOff>
      <xdr:row>10</xdr:row>
      <xdr:rowOff>159510</xdr:rowOff>
    </xdr:from>
    <xdr:to>
      <xdr:col>6</xdr:col>
      <xdr:colOff>690892</xdr:colOff>
      <xdr:row>13</xdr:row>
      <xdr:rowOff>139725</xdr:rowOff>
    </xdr:to>
    <xdr:cxnSp macro="">
      <xdr:nvCxnSpPr>
        <xdr:cNvPr id="57" name="79 Conector recto"/>
        <xdr:cNvCxnSpPr/>
      </xdr:nvCxnSpPr>
      <xdr:spPr>
        <a:xfrm>
          <a:off x="5232412" y="1771140"/>
          <a:ext cx="0" cy="473539"/>
        </a:xfrm>
        <a:prstGeom prst="line">
          <a:avLst/>
        </a:prstGeom>
        <a:ln w="1905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632838</xdr:colOff>
      <xdr:row>10</xdr:row>
      <xdr:rowOff>159510</xdr:rowOff>
    </xdr:from>
    <xdr:to>
      <xdr:col>6</xdr:col>
      <xdr:colOff>733706</xdr:colOff>
      <xdr:row>10</xdr:row>
      <xdr:rowOff>159510</xdr:rowOff>
    </xdr:to>
    <xdr:cxnSp macro="">
      <xdr:nvCxnSpPr>
        <xdr:cNvPr id="58" name="80 Conector recto"/>
        <xdr:cNvCxnSpPr/>
      </xdr:nvCxnSpPr>
      <xdr:spPr>
        <a:xfrm flipH="1">
          <a:off x="5181978" y="1771140"/>
          <a:ext cx="100868" cy="0"/>
        </a:xfrm>
        <a:prstGeom prst="line">
          <a:avLst/>
        </a:prstGeom>
        <a:ln w="1905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632838</xdr:colOff>
      <xdr:row>13</xdr:row>
      <xdr:rowOff>132511</xdr:rowOff>
    </xdr:from>
    <xdr:to>
      <xdr:col>6</xdr:col>
      <xdr:colOff>733706</xdr:colOff>
      <xdr:row>13</xdr:row>
      <xdr:rowOff>132511</xdr:rowOff>
    </xdr:to>
    <xdr:cxnSp macro="">
      <xdr:nvCxnSpPr>
        <xdr:cNvPr id="59" name="81 Conector recto"/>
        <xdr:cNvCxnSpPr/>
      </xdr:nvCxnSpPr>
      <xdr:spPr>
        <a:xfrm flipH="1">
          <a:off x="5181978" y="2237536"/>
          <a:ext cx="100868" cy="0"/>
        </a:xfrm>
        <a:prstGeom prst="line">
          <a:avLst/>
        </a:prstGeom>
        <a:ln w="1905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647268</xdr:colOff>
      <xdr:row>12</xdr:row>
      <xdr:rowOff>64809</xdr:rowOff>
    </xdr:from>
    <xdr:to>
      <xdr:col>6</xdr:col>
      <xdr:colOff>728277</xdr:colOff>
      <xdr:row>12</xdr:row>
      <xdr:rowOff>64809</xdr:rowOff>
    </xdr:to>
    <xdr:cxnSp macro="">
      <xdr:nvCxnSpPr>
        <xdr:cNvPr id="60" name="82 Conector recto"/>
        <xdr:cNvCxnSpPr/>
      </xdr:nvCxnSpPr>
      <xdr:spPr>
        <a:xfrm>
          <a:off x="5196408" y="2007909"/>
          <a:ext cx="7200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726896</xdr:colOff>
      <xdr:row>11</xdr:row>
      <xdr:rowOff>103623</xdr:rowOff>
    </xdr:from>
    <xdr:to>
      <xdr:col>7</xdr:col>
      <xdr:colOff>194621</xdr:colOff>
      <xdr:row>13</xdr:row>
      <xdr:rowOff>7832</xdr:rowOff>
    </xdr:to>
    <xdr:sp macro="" textlink="">
      <xdr:nvSpPr>
        <xdr:cNvPr id="61" name="83 CuadroTexto"/>
        <xdr:cNvSpPr txBox="1"/>
      </xdr:nvSpPr>
      <xdr:spPr>
        <a:xfrm>
          <a:off x="5481776" y="1947663"/>
          <a:ext cx="260205" cy="23948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9pPr>
        </a:lstStyle>
        <a:p>
          <a:r>
            <a:rPr lang="es-ES" sz="1000">
              <a:latin typeface="Arial Narrow" pitchFamily="34" charset="0"/>
            </a:rPr>
            <a:t>2</a:t>
          </a:r>
        </a:p>
      </xdr:txBody>
    </xdr:sp>
    <xdr:clientData/>
  </xdr:twoCellAnchor>
  <xdr:twoCellAnchor>
    <xdr:from>
      <xdr:col>6</xdr:col>
      <xdr:colOff>690364</xdr:colOff>
      <xdr:row>15</xdr:row>
      <xdr:rowOff>13724</xdr:rowOff>
    </xdr:from>
    <xdr:to>
      <xdr:col>6</xdr:col>
      <xdr:colOff>690364</xdr:colOff>
      <xdr:row>18</xdr:row>
      <xdr:rowOff>1488</xdr:rowOff>
    </xdr:to>
    <xdr:cxnSp macro="">
      <xdr:nvCxnSpPr>
        <xdr:cNvPr id="62" name="84 Conector recto"/>
        <xdr:cNvCxnSpPr/>
      </xdr:nvCxnSpPr>
      <xdr:spPr>
        <a:xfrm>
          <a:off x="5231884" y="2442599"/>
          <a:ext cx="0" cy="473539"/>
        </a:xfrm>
        <a:prstGeom prst="line">
          <a:avLst/>
        </a:prstGeom>
        <a:ln w="1905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632310</xdr:colOff>
      <xdr:row>15</xdr:row>
      <xdr:rowOff>13724</xdr:rowOff>
    </xdr:from>
    <xdr:to>
      <xdr:col>6</xdr:col>
      <xdr:colOff>733178</xdr:colOff>
      <xdr:row>15</xdr:row>
      <xdr:rowOff>13724</xdr:rowOff>
    </xdr:to>
    <xdr:cxnSp macro="">
      <xdr:nvCxnSpPr>
        <xdr:cNvPr id="63" name="85 Conector recto"/>
        <xdr:cNvCxnSpPr/>
      </xdr:nvCxnSpPr>
      <xdr:spPr>
        <a:xfrm flipH="1">
          <a:off x="5181450" y="2442599"/>
          <a:ext cx="100868" cy="0"/>
        </a:xfrm>
        <a:prstGeom prst="line">
          <a:avLst/>
        </a:prstGeom>
        <a:ln w="1905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632310</xdr:colOff>
      <xdr:row>17</xdr:row>
      <xdr:rowOff>163890</xdr:rowOff>
    </xdr:from>
    <xdr:to>
      <xdr:col>6</xdr:col>
      <xdr:colOff>733178</xdr:colOff>
      <xdr:row>17</xdr:row>
      <xdr:rowOff>163890</xdr:rowOff>
    </xdr:to>
    <xdr:cxnSp macro="">
      <xdr:nvCxnSpPr>
        <xdr:cNvPr id="64" name="86 Conector recto"/>
        <xdr:cNvCxnSpPr/>
      </xdr:nvCxnSpPr>
      <xdr:spPr>
        <a:xfrm flipH="1">
          <a:off x="5181450" y="2908995"/>
          <a:ext cx="100868" cy="0"/>
        </a:xfrm>
        <a:prstGeom prst="line">
          <a:avLst/>
        </a:prstGeom>
        <a:ln w="1905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654360</xdr:colOff>
      <xdr:row>16</xdr:row>
      <xdr:rowOff>96188</xdr:rowOff>
    </xdr:from>
    <xdr:to>
      <xdr:col>6</xdr:col>
      <xdr:colOff>726368</xdr:colOff>
      <xdr:row>16</xdr:row>
      <xdr:rowOff>96188</xdr:rowOff>
    </xdr:to>
    <xdr:cxnSp macro="">
      <xdr:nvCxnSpPr>
        <xdr:cNvPr id="65" name="87 Conector recto"/>
        <xdr:cNvCxnSpPr/>
      </xdr:nvCxnSpPr>
      <xdr:spPr>
        <a:xfrm>
          <a:off x="5195880" y="2679368"/>
          <a:ext cx="7200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726368</xdr:colOff>
      <xdr:row>15</xdr:row>
      <xdr:rowOff>135002</xdr:rowOff>
    </xdr:from>
    <xdr:to>
      <xdr:col>7</xdr:col>
      <xdr:colOff>194093</xdr:colOff>
      <xdr:row>17</xdr:row>
      <xdr:rowOff>39211</xdr:rowOff>
    </xdr:to>
    <xdr:sp macro="" textlink="">
      <xdr:nvSpPr>
        <xdr:cNvPr id="66" name="88 CuadroTexto"/>
        <xdr:cNvSpPr txBox="1"/>
      </xdr:nvSpPr>
      <xdr:spPr>
        <a:xfrm>
          <a:off x="5481248" y="2649602"/>
          <a:ext cx="260205" cy="23948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9pPr>
        </a:lstStyle>
        <a:p>
          <a:r>
            <a:rPr lang="es-ES" sz="1000">
              <a:latin typeface="Arial Narrow" pitchFamily="34" charset="0"/>
            </a:rPr>
            <a:t>1</a:t>
          </a:r>
        </a:p>
      </xdr:txBody>
    </xdr:sp>
    <xdr:clientData/>
  </xdr:twoCellAnchor>
  <xdr:twoCellAnchor>
    <xdr:from>
      <xdr:col>2</xdr:col>
      <xdr:colOff>654506</xdr:colOff>
      <xdr:row>3</xdr:row>
      <xdr:rowOff>134888</xdr:rowOff>
    </xdr:from>
    <xdr:to>
      <xdr:col>4</xdr:col>
      <xdr:colOff>491598</xdr:colOff>
      <xdr:row>6</xdr:row>
      <xdr:rowOff>47979</xdr:rowOff>
    </xdr:to>
    <xdr:sp macro="" textlink="">
      <xdr:nvSpPr>
        <xdr:cNvPr id="67" name="163969 CuadroTexto"/>
        <xdr:cNvSpPr txBox="1"/>
      </xdr:nvSpPr>
      <xdr:spPr>
        <a:xfrm>
          <a:off x="2239466" y="637808"/>
          <a:ext cx="1422052" cy="41601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9pPr>
        </a:lstStyle>
        <a:p>
          <a:r>
            <a:rPr lang="es-ES" sz="1100">
              <a:latin typeface="Arial Narrow" pitchFamily="34" charset="0"/>
            </a:rPr>
            <a:t>Ciudad</a:t>
          </a:r>
        </a:p>
        <a:p>
          <a:r>
            <a:rPr lang="es-ES" sz="1100">
              <a:latin typeface="Arial Narrow" pitchFamily="34" charset="0"/>
            </a:rPr>
            <a:t>Bosques</a:t>
          </a:r>
        </a:p>
      </xdr:txBody>
    </xdr:sp>
    <xdr:clientData/>
  </xdr:twoCellAnchor>
  <xdr:twoCellAnchor>
    <xdr:from>
      <xdr:col>2</xdr:col>
      <xdr:colOff>654506</xdr:colOff>
      <xdr:row>6</xdr:row>
      <xdr:rowOff>22597</xdr:rowOff>
    </xdr:from>
    <xdr:to>
      <xdr:col>4</xdr:col>
      <xdr:colOff>491598</xdr:colOff>
      <xdr:row>7</xdr:row>
      <xdr:rowOff>109129</xdr:rowOff>
    </xdr:to>
    <xdr:sp macro="" textlink="">
      <xdr:nvSpPr>
        <xdr:cNvPr id="68" name="90 CuadroTexto"/>
        <xdr:cNvSpPr txBox="1"/>
      </xdr:nvSpPr>
      <xdr:spPr>
        <a:xfrm>
          <a:off x="2239466" y="1028437"/>
          <a:ext cx="1422052" cy="25417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9pPr>
        </a:lstStyle>
        <a:p>
          <a:r>
            <a:rPr lang="es-ES" sz="1100">
              <a:latin typeface="Arial Narrow" pitchFamily="34" charset="0"/>
            </a:rPr>
            <a:t>Barrios periferia ciudad</a:t>
          </a:r>
        </a:p>
      </xdr:txBody>
    </xdr:sp>
    <xdr:clientData/>
  </xdr:twoCellAnchor>
  <xdr:twoCellAnchor>
    <xdr:from>
      <xdr:col>2</xdr:col>
      <xdr:colOff>654506</xdr:colOff>
      <xdr:row>7</xdr:row>
      <xdr:rowOff>143376</xdr:rowOff>
    </xdr:from>
    <xdr:to>
      <xdr:col>4</xdr:col>
      <xdr:colOff>491598</xdr:colOff>
      <xdr:row>9</xdr:row>
      <xdr:rowOff>62268</xdr:rowOff>
    </xdr:to>
    <xdr:sp macro="" textlink="">
      <xdr:nvSpPr>
        <xdr:cNvPr id="69" name="91 CuadroTexto"/>
        <xdr:cNvSpPr txBox="1"/>
      </xdr:nvSpPr>
      <xdr:spPr>
        <a:xfrm>
          <a:off x="2239466" y="1316856"/>
          <a:ext cx="1422052" cy="25417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9pPr>
        </a:lstStyle>
        <a:p>
          <a:r>
            <a:rPr lang="es-ES" sz="1100">
              <a:latin typeface="Arial Narrow" pitchFamily="34" charset="0"/>
            </a:rPr>
            <a:t>Terrenos edificados</a:t>
          </a:r>
        </a:p>
      </xdr:txBody>
    </xdr:sp>
    <xdr:clientData/>
  </xdr:twoCellAnchor>
  <xdr:twoCellAnchor>
    <xdr:from>
      <xdr:col>2</xdr:col>
      <xdr:colOff>654506</xdr:colOff>
      <xdr:row>9</xdr:row>
      <xdr:rowOff>31864</xdr:rowOff>
    </xdr:from>
    <xdr:to>
      <xdr:col>5</xdr:col>
      <xdr:colOff>218577</xdr:colOff>
      <xdr:row>10</xdr:row>
      <xdr:rowOff>118396</xdr:rowOff>
    </xdr:to>
    <xdr:sp macro="" textlink="">
      <xdr:nvSpPr>
        <xdr:cNvPr id="70" name="92 CuadroTexto"/>
        <xdr:cNvSpPr txBox="1"/>
      </xdr:nvSpPr>
      <xdr:spPr>
        <a:xfrm>
          <a:off x="2239466" y="1540624"/>
          <a:ext cx="1941511" cy="25417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9pPr>
        </a:lstStyle>
        <a:p>
          <a:r>
            <a:rPr lang="es-ES" sz="1100">
              <a:latin typeface="Arial Narrow" pitchFamily="34" charset="0"/>
            </a:rPr>
            <a:t>Conjunto de árboles o arbustos</a:t>
          </a:r>
        </a:p>
      </xdr:txBody>
    </xdr:sp>
    <xdr:clientData/>
  </xdr:twoCellAnchor>
  <xdr:twoCellAnchor>
    <xdr:from>
      <xdr:col>2</xdr:col>
      <xdr:colOff>654506</xdr:colOff>
      <xdr:row>11</xdr:row>
      <xdr:rowOff>95928</xdr:rowOff>
    </xdr:from>
    <xdr:to>
      <xdr:col>5</xdr:col>
      <xdr:colOff>767825</xdr:colOff>
      <xdr:row>13</xdr:row>
      <xdr:rowOff>14820</xdr:rowOff>
    </xdr:to>
    <xdr:sp macro="" textlink="">
      <xdr:nvSpPr>
        <xdr:cNvPr id="71" name="93 CuadroTexto"/>
        <xdr:cNvSpPr txBox="1"/>
      </xdr:nvSpPr>
      <xdr:spPr>
        <a:xfrm>
          <a:off x="2239466" y="1939968"/>
          <a:ext cx="2490759" cy="25417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9pPr>
        </a:lstStyle>
        <a:p>
          <a:r>
            <a:rPr lang="es-ES" sz="1100">
              <a:latin typeface="Arial Narrow" pitchFamily="34" charset="0"/>
            </a:rPr>
            <a:t>Terreno agrícola de apariencia cerrada</a:t>
          </a:r>
        </a:p>
      </xdr:txBody>
    </xdr:sp>
    <xdr:clientData/>
  </xdr:twoCellAnchor>
  <xdr:twoCellAnchor>
    <xdr:from>
      <xdr:col>2</xdr:col>
      <xdr:colOff>654506</xdr:colOff>
      <xdr:row>13</xdr:row>
      <xdr:rowOff>156882</xdr:rowOff>
    </xdr:from>
    <xdr:to>
      <xdr:col>5</xdr:col>
      <xdr:colOff>593845</xdr:colOff>
      <xdr:row>15</xdr:row>
      <xdr:rowOff>75774</xdr:rowOff>
    </xdr:to>
    <xdr:sp macro="" textlink="">
      <xdr:nvSpPr>
        <xdr:cNvPr id="72" name="95 CuadroTexto"/>
        <xdr:cNvSpPr txBox="1"/>
      </xdr:nvSpPr>
      <xdr:spPr>
        <a:xfrm>
          <a:off x="2239466" y="2336202"/>
          <a:ext cx="2316779" cy="25417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9pPr>
        </a:lstStyle>
        <a:p>
          <a:r>
            <a:rPr lang="es-ES" sz="1100">
              <a:latin typeface="Arial Narrow" pitchFamily="34" charset="0"/>
            </a:rPr>
            <a:t>Terreno agrícola de apariencia abierta</a:t>
          </a:r>
        </a:p>
      </xdr:txBody>
    </xdr:sp>
    <xdr:clientData/>
  </xdr:twoCellAnchor>
  <xdr:twoCellAnchor>
    <xdr:from>
      <xdr:col>2</xdr:col>
      <xdr:colOff>654507</xdr:colOff>
      <xdr:row>15</xdr:row>
      <xdr:rowOff>108617</xdr:rowOff>
    </xdr:from>
    <xdr:to>
      <xdr:col>6</xdr:col>
      <xdr:colOff>565767</xdr:colOff>
      <xdr:row>17</xdr:row>
      <xdr:rowOff>27509</xdr:rowOff>
    </xdr:to>
    <xdr:sp macro="" textlink="">
      <xdr:nvSpPr>
        <xdr:cNvPr id="73" name="96 CuadroTexto"/>
        <xdr:cNvSpPr txBox="1"/>
      </xdr:nvSpPr>
      <xdr:spPr>
        <a:xfrm>
          <a:off x="2239467" y="2623217"/>
          <a:ext cx="3081180" cy="25417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9pPr>
        </a:lstStyle>
        <a:p>
          <a:r>
            <a:rPr lang="es-ES" sz="1100">
              <a:latin typeface="Arial Narrow" pitchFamily="34" charset="0"/>
            </a:rPr>
            <a:t>Terreno agrícola con pocos árboles o construcciones</a:t>
          </a:r>
        </a:p>
      </xdr:txBody>
    </xdr:sp>
    <xdr:clientData/>
  </xdr:twoCellAnchor>
  <xdr:twoCellAnchor>
    <xdr:from>
      <xdr:col>2</xdr:col>
      <xdr:colOff>654506</xdr:colOff>
      <xdr:row>17</xdr:row>
      <xdr:rowOff>290</xdr:rowOff>
    </xdr:from>
    <xdr:to>
      <xdr:col>5</xdr:col>
      <xdr:colOff>593845</xdr:colOff>
      <xdr:row>18</xdr:row>
      <xdr:rowOff>86822</xdr:rowOff>
    </xdr:to>
    <xdr:sp macro="" textlink="">
      <xdr:nvSpPr>
        <xdr:cNvPr id="74" name="97 CuadroTexto"/>
        <xdr:cNvSpPr txBox="1"/>
      </xdr:nvSpPr>
      <xdr:spPr>
        <a:xfrm>
          <a:off x="2239466" y="2850170"/>
          <a:ext cx="2316779" cy="25417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9pPr>
        </a:lstStyle>
        <a:p>
          <a:r>
            <a:rPr lang="es-ES" sz="1100">
              <a:latin typeface="Arial Narrow" pitchFamily="34" charset="0"/>
            </a:rPr>
            <a:t>Terreno agrícola de apariencia abierta</a:t>
          </a:r>
        </a:p>
      </xdr:txBody>
    </xdr:sp>
    <xdr:clientData/>
  </xdr:twoCellAnchor>
  <xdr:twoCellAnchor>
    <xdr:from>
      <xdr:col>2</xdr:col>
      <xdr:colOff>654506</xdr:colOff>
      <xdr:row>19</xdr:row>
      <xdr:rowOff>65082</xdr:rowOff>
    </xdr:from>
    <xdr:to>
      <xdr:col>5</xdr:col>
      <xdr:colOff>593845</xdr:colOff>
      <xdr:row>20</xdr:row>
      <xdr:rowOff>151614</xdr:rowOff>
    </xdr:to>
    <xdr:sp macro="" textlink="">
      <xdr:nvSpPr>
        <xdr:cNvPr id="75" name="98 CuadroTexto"/>
        <xdr:cNvSpPr txBox="1"/>
      </xdr:nvSpPr>
      <xdr:spPr>
        <a:xfrm>
          <a:off x="2239466" y="3250242"/>
          <a:ext cx="2316779" cy="25417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9pPr>
        </a:lstStyle>
        <a:p>
          <a:r>
            <a:rPr lang="es-ES" sz="1100">
              <a:latin typeface="Arial Narrow" pitchFamily="34" charset="0"/>
            </a:rPr>
            <a:t>Aeropuertos, pistas aterrizaje/despegue</a:t>
          </a:r>
        </a:p>
      </xdr:txBody>
    </xdr:sp>
    <xdr:clientData/>
  </xdr:twoCellAnchor>
  <xdr:twoCellAnchor>
    <xdr:from>
      <xdr:col>2</xdr:col>
      <xdr:colOff>654506</xdr:colOff>
      <xdr:row>20</xdr:row>
      <xdr:rowOff>17266</xdr:rowOff>
    </xdr:from>
    <xdr:to>
      <xdr:col>5</xdr:col>
      <xdr:colOff>593845</xdr:colOff>
      <xdr:row>21</xdr:row>
      <xdr:rowOff>103798</xdr:rowOff>
    </xdr:to>
    <xdr:sp macro="" textlink="">
      <xdr:nvSpPr>
        <xdr:cNvPr id="76" name="99 CuadroTexto"/>
        <xdr:cNvSpPr txBox="1"/>
      </xdr:nvSpPr>
      <xdr:spPr>
        <a:xfrm>
          <a:off x="2239466" y="3370066"/>
          <a:ext cx="2316779" cy="25417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9pPr>
        </a:lstStyle>
        <a:p>
          <a:r>
            <a:rPr lang="es-ES" sz="1100">
              <a:latin typeface="Arial Narrow" pitchFamily="34" charset="0"/>
            </a:rPr>
            <a:t>Pradera</a:t>
          </a:r>
        </a:p>
      </xdr:txBody>
    </xdr:sp>
    <xdr:clientData/>
  </xdr:twoCellAnchor>
  <xdr:twoCellAnchor>
    <xdr:from>
      <xdr:col>2</xdr:col>
      <xdr:colOff>654506</xdr:colOff>
      <xdr:row>21</xdr:row>
      <xdr:rowOff>126894</xdr:rowOff>
    </xdr:from>
    <xdr:to>
      <xdr:col>5</xdr:col>
      <xdr:colOff>593845</xdr:colOff>
      <xdr:row>23</xdr:row>
      <xdr:rowOff>45786</xdr:rowOff>
    </xdr:to>
    <xdr:sp macro="" textlink="">
      <xdr:nvSpPr>
        <xdr:cNvPr id="77" name="100 CuadroTexto"/>
        <xdr:cNvSpPr txBox="1"/>
      </xdr:nvSpPr>
      <xdr:spPr>
        <a:xfrm>
          <a:off x="2239466" y="3647334"/>
          <a:ext cx="2316779" cy="25417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9pPr>
        </a:lstStyle>
        <a:p>
          <a:r>
            <a:rPr lang="es-ES" sz="1100">
              <a:latin typeface="Arial Narrow" pitchFamily="34" charset="0"/>
            </a:rPr>
            <a:t>Tierra desnuda</a:t>
          </a:r>
        </a:p>
      </xdr:txBody>
    </xdr:sp>
    <xdr:clientData/>
  </xdr:twoCellAnchor>
  <xdr:twoCellAnchor>
    <xdr:from>
      <xdr:col>2</xdr:col>
      <xdr:colOff>654506</xdr:colOff>
      <xdr:row>27</xdr:row>
      <xdr:rowOff>43062</xdr:rowOff>
    </xdr:from>
    <xdr:to>
      <xdr:col>5</xdr:col>
      <xdr:colOff>593845</xdr:colOff>
      <xdr:row>28</xdr:row>
      <xdr:rowOff>129594</xdr:rowOff>
    </xdr:to>
    <xdr:sp macro="" textlink="">
      <xdr:nvSpPr>
        <xdr:cNvPr id="78" name="102 CuadroTexto"/>
        <xdr:cNvSpPr txBox="1"/>
      </xdr:nvSpPr>
      <xdr:spPr>
        <a:xfrm>
          <a:off x="2239466" y="4569342"/>
          <a:ext cx="2316779" cy="25417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9pPr>
        </a:lstStyle>
        <a:p>
          <a:r>
            <a:rPr lang="es-ES" sz="1100">
              <a:latin typeface="Arial Narrow" pitchFamily="34" charset="0"/>
            </a:rPr>
            <a:t>Terrenos nevados</a:t>
          </a:r>
        </a:p>
      </xdr:txBody>
    </xdr:sp>
    <xdr:clientData/>
  </xdr:twoCellAnchor>
  <xdr:twoCellAnchor>
    <xdr:from>
      <xdr:col>2</xdr:col>
      <xdr:colOff>654506</xdr:colOff>
      <xdr:row>31</xdr:row>
      <xdr:rowOff>60389</xdr:rowOff>
    </xdr:from>
    <xdr:to>
      <xdr:col>5</xdr:col>
      <xdr:colOff>593845</xdr:colOff>
      <xdr:row>32</xdr:row>
      <xdr:rowOff>146921</xdr:rowOff>
    </xdr:to>
    <xdr:sp macro="" textlink="">
      <xdr:nvSpPr>
        <xdr:cNvPr id="79" name="103 CuadroTexto"/>
        <xdr:cNvSpPr txBox="1"/>
      </xdr:nvSpPr>
      <xdr:spPr>
        <a:xfrm>
          <a:off x="2239466" y="5257229"/>
          <a:ext cx="2316779" cy="25417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9pPr>
        </a:lstStyle>
        <a:p>
          <a:r>
            <a:rPr lang="es-ES" sz="1100">
              <a:latin typeface="Arial Narrow" pitchFamily="34" charset="0"/>
            </a:rPr>
            <a:t>Arenales</a:t>
          </a:r>
        </a:p>
      </xdr:txBody>
    </xdr:sp>
    <xdr:clientData/>
  </xdr:twoCellAnchor>
  <xdr:twoCellAnchor>
    <xdr:from>
      <xdr:col>2</xdr:col>
      <xdr:colOff>654506</xdr:colOff>
      <xdr:row>35</xdr:row>
      <xdr:rowOff>15825</xdr:rowOff>
    </xdr:from>
    <xdr:to>
      <xdr:col>5</xdr:col>
      <xdr:colOff>593845</xdr:colOff>
      <xdr:row>36</xdr:row>
      <xdr:rowOff>102357</xdr:rowOff>
    </xdr:to>
    <xdr:sp macro="" textlink="">
      <xdr:nvSpPr>
        <xdr:cNvPr id="80" name="104 CuadroTexto"/>
        <xdr:cNvSpPr txBox="1"/>
      </xdr:nvSpPr>
      <xdr:spPr>
        <a:xfrm>
          <a:off x="2239466" y="5883225"/>
          <a:ext cx="2316779" cy="25417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9pPr>
        </a:lstStyle>
        <a:p>
          <a:r>
            <a:rPr lang="es-ES" sz="1100">
              <a:latin typeface="Arial Narrow" pitchFamily="34" charset="0"/>
            </a:rPr>
            <a:t>Superficies de agua (lagos, mar...)</a:t>
          </a:r>
        </a:p>
      </xdr:txBody>
    </xdr:sp>
    <xdr:clientData/>
  </xdr:twoCellAnchor>
  <xdr:twoCellAnchor>
    <xdr:from>
      <xdr:col>6</xdr:col>
      <xdr:colOff>690364</xdr:colOff>
      <xdr:row>32</xdr:row>
      <xdr:rowOff>18048</xdr:rowOff>
    </xdr:from>
    <xdr:to>
      <xdr:col>6</xdr:col>
      <xdr:colOff>690364</xdr:colOff>
      <xdr:row>35</xdr:row>
      <xdr:rowOff>5812</xdr:rowOff>
    </xdr:to>
    <xdr:cxnSp macro="">
      <xdr:nvCxnSpPr>
        <xdr:cNvPr id="81" name="105 Conector recto"/>
        <xdr:cNvCxnSpPr/>
      </xdr:nvCxnSpPr>
      <xdr:spPr>
        <a:xfrm>
          <a:off x="5231884" y="5199648"/>
          <a:ext cx="0" cy="473539"/>
        </a:xfrm>
        <a:prstGeom prst="line">
          <a:avLst/>
        </a:prstGeom>
        <a:ln w="1905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632310</xdr:colOff>
      <xdr:row>32</xdr:row>
      <xdr:rowOff>18048</xdr:rowOff>
    </xdr:from>
    <xdr:to>
      <xdr:col>6</xdr:col>
      <xdr:colOff>733178</xdr:colOff>
      <xdr:row>32</xdr:row>
      <xdr:rowOff>18048</xdr:rowOff>
    </xdr:to>
    <xdr:cxnSp macro="">
      <xdr:nvCxnSpPr>
        <xdr:cNvPr id="82" name="106 Conector recto"/>
        <xdr:cNvCxnSpPr/>
      </xdr:nvCxnSpPr>
      <xdr:spPr>
        <a:xfrm flipH="1">
          <a:off x="5181450" y="5199648"/>
          <a:ext cx="100868" cy="0"/>
        </a:xfrm>
        <a:prstGeom prst="line">
          <a:avLst/>
        </a:prstGeom>
        <a:ln w="1905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632310</xdr:colOff>
      <xdr:row>35</xdr:row>
      <xdr:rowOff>574</xdr:rowOff>
    </xdr:from>
    <xdr:to>
      <xdr:col>6</xdr:col>
      <xdr:colOff>733178</xdr:colOff>
      <xdr:row>35</xdr:row>
      <xdr:rowOff>574</xdr:rowOff>
    </xdr:to>
    <xdr:cxnSp macro="">
      <xdr:nvCxnSpPr>
        <xdr:cNvPr id="83" name="107 Conector recto"/>
        <xdr:cNvCxnSpPr/>
      </xdr:nvCxnSpPr>
      <xdr:spPr>
        <a:xfrm flipH="1">
          <a:off x="5181450" y="5666044"/>
          <a:ext cx="100868" cy="0"/>
        </a:xfrm>
        <a:prstGeom prst="line">
          <a:avLst/>
        </a:prstGeom>
        <a:ln w="1905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654360</xdr:colOff>
      <xdr:row>33</xdr:row>
      <xdr:rowOff>92892</xdr:rowOff>
    </xdr:from>
    <xdr:to>
      <xdr:col>6</xdr:col>
      <xdr:colOff>726368</xdr:colOff>
      <xdr:row>33</xdr:row>
      <xdr:rowOff>92892</xdr:rowOff>
    </xdr:to>
    <xdr:cxnSp macro="">
      <xdr:nvCxnSpPr>
        <xdr:cNvPr id="84" name="108 Conector recto"/>
        <xdr:cNvCxnSpPr/>
      </xdr:nvCxnSpPr>
      <xdr:spPr>
        <a:xfrm>
          <a:off x="5195880" y="5436417"/>
          <a:ext cx="72008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726368</xdr:colOff>
      <xdr:row>32</xdr:row>
      <xdr:rowOff>131706</xdr:rowOff>
    </xdr:from>
    <xdr:to>
      <xdr:col>7</xdr:col>
      <xdr:colOff>194093</xdr:colOff>
      <xdr:row>34</xdr:row>
      <xdr:rowOff>35915</xdr:rowOff>
    </xdr:to>
    <xdr:sp macro="" textlink="">
      <xdr:nvSpPr>
        <xdr:cNvPr id="85" name="109 CuadroTexto"/>
        <xdr:cNvSpPr txBox="1"/>
      </xdr:nvSpPr>
      <xdr:spPr>
        <a:xfrm>
          <a:off x="5481248" y="5496186"/>
          <a:ext cx="260205" cy="23948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itchFamily="34" charset="0"/>
              <a:ea typeface="+mn-ea"/>
              <a:cs typeface="+mn-cs"/>
            </a:defRPr>
          </a:lvl9pPr>
        </a:lstStyle>
        <a:p>
          <a:r>
            <a:rPr lang="es-ES" sz="1000">
              <a:latin typeface="Arial Narrow" pitchFamily="34" charset="0"/>
            </a:rPr>
            <a:t>0</a:t>
          </a:r>
        </a:p>
      </xdr:txBody>
    </xdr:sp>
    <xdr:clientData/>
  </xdr:twoCellAnchor>
  <xdr:twoCellAnchor>
    <xdr:from>
      <xdr:col>2</xdr:col>
      <xdr:colOff>151636</xdr:colOff>
      <xdr:row>2</xdr:row>
      <xdr:rowOff>0</xdr:rowOff>
    </xdr:from>
    <xdr:to>
      <xdr:col>2</xdr:col>
      <xdr:colOff>652317</xdr:colOff>
      <xdr:row>3</xdr:row>
      <xdr:rowOff>135029</xdr:rowOff>
    </xdr:to>
    <xdr:sp macro="" textlink="">
      <xdr:nvSpPr>
        <xdr:cNvPr id="86" name="163971 Rectángulo"/>
        <xdr:cNvSpPr/>
      </xdr:nvSpPr>
      <xdr:spPr>
        <a:xfrm>
          <a:off x="1668016" y="323850"/>
          <a:ext cx="485509" cy="28919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200" b="1">
              <a:solidFill>
                <a:schemeClr val="tx1"/>
              </a:solidFill>
              <a:latin typeface="Arial Narrow" pitchFamily="34" charset="0"/>
            </a:rPr>
            <a:t>z</a:t>
          </a:r>
          <a:r>
            <a:rPr lang="es-ES" sz="1200" b="1" baseline="-25000">
              <a:solidFill>
                <a:schemeClr val="tx1"/>
              </a:solidFill>
              <a:latin typeface="Arial Narrow" pitchFamily="34" charset="0"/>
            </a:rPr>
            <a:t>0</a:t>
          </a:r>
        </a:p>
      </xdr:txBody>
    </xdr:sp>
    <xdr:clientData/>
  </xdr:twoCellAnchor>
  <xdr:twoCellAnchor>
    <xdr:from>
      <xdr:col>2</xdr:col>
      <xdr:colOff>695319</xdr:colOff>
      <xdr:row>2</xdr:row>
      <xdr:rowOff>0</xdr:rowOff>
    </xdr:from>
    <xdr:to>
      <xdr:col>5</xdr:col>
      <xdr:colOff>617180</xdr:colOff>
      <xdr:row>3</xdr:row>
      <xdr:rowOff>135029</xdr:rowOff>
    </xdr:to>
    <xdr:sp macro="" textlink="">
      <xdr:nvSpPr>
        <xdr:cNvPr id="87" name="111 Rectángulo"/>
        <xdr:cNvSpPr/>
      </xdr:nvSpPr>
      <xdr:spPr>
        <a:xfrm>
          <a:off x="2196459" y="323850"/>
          <a:ext cx="2207861" cy="28919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200" b="1">
              <a:solidFill>
                <a:schemeClr val="tx1"/>
              </a:solidFill>
              <a:latin typeface="Arial Narrow" pitchFamily="34" charset="0"/>
            </a:rPr>
            <a:t>Tipos de terreno</a:t>
          </a:r>
          <a:endParaRPr lang="es-ES" sz="1200" b="1" baseline="-25000">
            <a:solidFill>
              <a:schemeClr val="tx1"/>
            </a:solidFill>
            <a:latin typeface="Arial Narrow" pitchFamily="34" charset="0"/>
          </a:endParaRPr>
        </a:p>
      </xdr:txBody>
    </xdr:sp>
    <xdr:clientData/>
  </xdr:twoCellAnchor>
  <xdr:twoCellAnchor>
    <xdr:from>
      <xdr:col>5</xdr:col>
      <xdr:colOff>649414</xdr:colOff>
      <xdr:row>2</xdr:row>
      <xdr:rowOff>0</xdr:rowOff>
    </xdr:from>
    <xdr:to>
      <xdr:col>7</xdr:col>
      <xdr:colOff>489713</xdr:colOff>
      <xdr:row>3</xdr:row>
      <xdr:rowOff>135029</xdr:rowOff>
    </xdr:to>
    <xdr:sp macro="" textlink="">
      <xdr:nvSpPr>
        <xdr:cNvPr id="88" name="112 Rectángulo"/>
        <xdr:cNvSpPr/>
      </xdr:nvSpPr>
      <xdr:spPr>
        <a:xfrm>
          <a:off x="4436554" y="323850"/>
          <a:ext cx="1371921" cy="28919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200" b="1">
              <a:solidFill>
                <a:schemeClr val="tx1"/>
              </a:solidFill>
              <a:latin typeface="Arial Narrow" pitchFamily="34" charset="0"/>
            </a:rPr>
            <a:t>Clase de rugosidad</a:t>
          </a:r>
          <a:endParaRPr lang="es-ES" sz="1200" b="1" baseline="-25000">
            <a:solidFill>
              <a:schemeClr val="tx1"/>
            </a:solidFill>
            <a:latin typeface="Arial Narrow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198120</xdr:colOff>
      <xdr:row>4</xdr:row>
      <xdr:rowOff>99060</xdr:rowOff>
    </xdr:from>
    <xdr:to>
      <xdr:col>14</xdr:col>
      <xdr:colOff>91440</xdr:colOff>
      <xdr:row>19</xdr:row>
      <xdr:rowOff>22860</xdr:rowOff>
    </xdr:to>
    <xdr:graphicFrame macro="">
      <xdr:nvGraphicFramePr>
        <xdr:cNvPr id="1392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8</xdr:col>
      <xdr:colOff>198120</xdr:colOff>
      <xdr:row>18</xdr:row>
      <xdr:rowOff>121920</xdr:rowOff>
    </xdr:from>
    <xdr:to>
      <xdr:col>14</xdr:col>
      <xdr:colOff>91440</xdr:colOff>
      <xdr:row>35</xdr:row>
      <xdr:rowOff>106680</xdr:rowOff>
    </xdr:to>
    <xdr:graphicFrame macro="">
      <xdr:nvGraphicFramePr>
        <xdr:cNvPr id="1392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8</xdr:col>
      <xdr:colOff>198120</xdr:colOff>
      <xdr:row>35</xdr:row>
      <xdr:rowOff>68580</xdr:rowOff>
    </xdr:from>
    <xdr:to>
      <xdr:col>14</xdr:col>
      <xdr:colOff>91440</xdr:colOff>
      <xdr:row>52</xdr:row>
      <xdr:rowOff>60960</xdr:rowOff>
    </xdr:to>
    <xdr:graphicFrame macro="">
      <xdr:nvGraphicFramePr>
        <xdr:cNvPr id="13928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188595</xdr:colOff>
      <xdr:row>4</xdr:row>
      <xdr:rowOff>66675</xdr:rowOff>
    </xdr:from>
    <xdr:to>
      <xdr:col>6</xdr:col>
      <xdr:colOff>584835</xdr:colOff>
      <xdr:row>5</xdr:row>
      <xdr:rowOff>121986</xdr:rowOff>
    </xdr:to>
    <xdr:sp macro="" textlink="">
      <xdr:nvSpPr>
        <xdr:cNvPr id="5" name="4 Flecha arriba"/>
        <xdr:cNvSpPr/>
      </xdr:nvSpPr>
      <xdr:spPr>
        <a:xfrm>
          <a:off x="4391025" y="733425"/>
          <a:ext cx="381000" cy="2190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7</xdr:col>
      <xdr:colOff>264795</xdr:colOff>
      <xdr:row>4</xdr:row>
      <xdr:rowOff>66675</xdr:rowOff>
    </xdr:from>
    <xdr:to>
      <xdr:col>7</xdr:col>
      <xdr:colOff>653415</xdr:colOff>
      <xdr:row>5</xdr:row>
      <xdr:rowOff>121986</xdr:rowOff>
    </xdr:to>
    <xdr:sp macro="" textlink="">
      <xdr:nvSpPr>
        <xdr:cNvPr id="6" name="5 Flecha arriba"/>
        <xdr:cNvSpPr/>
      </xdr:nvSpPr>
      <xdr:spPr>
        <a:xfrm>
          <a:off x="5229225" y="733425"/>
          <a:ext cx="381000" cy="2190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426720</xdr:colOff>
      <xdr:row>7</xdr:row>
      <xdr:rowOff>137160</xdr:rowOff>
    </xdr:from>
    <xdr:to>
      <xdr:col>12</xdr:col>
      <xdr:colOff>426720</xdr:colOff>
      <xdr:row>29</xdr:row>
      <xdr:rowOff>99060</xdr:rowOff>
    </xdr:to>
    <xdr:graphicFrame macro="">
      <xdr:nvGraphicFramePr>
        <xdr:cNvPr id="83051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6"/>
  <sheetViews>
    <sheetView workbookViewId="0">
      <selection activeCell="B19" sqref="B19"/>
    </sheetView>
  </sheetViews>
  <sheetFormatPr baseColWidth="10" defaultRowHeight="13.2" x14ac:dyDescent="0.25"/>
  <cols>
    <col min="1" max="1" width="23" style="140" customWidth="1"/>
    <col min="2" max="2" width="18.6640625" style="109" customWidth="1"/>
    <col min="3" max="3" width="8.5546875" style="110" customWidth="1"/>
    <col min="4" max="4" width="14" style="110" customWidth="1"/>
    <col min="5" max="5" width="3" style="110" customWidth="1"/>
    <col min="6" max="6" width="7.109375" style="110" customWidth="1"/>
    <col min="7" max="7" width="11.5546875" style="112" customWidth="1"/>
    <col min="8" max="8" width="12.109375" style="113" customWidth="1"/>
    <col min="9" max="9" width="5.88671875" style="113" customWidth="1"/>
    <col min="10" max="10" width="10" style="113" customWidth="1"/>
    <col min="11" max="11" width="12.88671875" style="113" customWidth="1"/>
    <col min="12" max="12" width="10.5546875" style="113" customWidth="1"/>
    <col min="13" max="13" width="10.109375" style="113" customWidth="1"/>
    <col min="14" max="14" width="13.44140625" style="113" customWidth="1"/>
    <col min="15" max="16384" width="11.5546875" style="113"/>
  </cols>
  <sheetData>
    <row r="1" spans="1:14" ht="30" customHeight="1" x14ac:dyDescent="0.25">
      <c r="A1" s="108" t="s">
        <v>100</v>
      </c>
      <c r="E1" s="111" t="s">
        <v>99</v>
      </c>
      <c r="F1" s="111">
        <f>(F4-F3)/2</f>
        <v>0.5</v>
      </c>
    </row>
    <row r="2" spans="1:14" ht="24.75" customHeight="1" x14ac:dyDescent="0.4">
      <c r="A2" s="114" t="s">
        <v>33</v>
      </c>
      <c r="B2" s="115"/>
      <c r="C2" s="116"/>
      <c r="D2" s="164"/>
      <c r="E2" s="117"/>
      <c r="F2" s="118" t="s">
        <v>0</v>
      </c>
      <c r="G2" s="119" t="s">
        <v>50</v>
      </c>
      <c r="H2" s="119" t="s">
        <v>34</v>
      </c>
      <c r="I2" s="119" t="s">
        <v>35</v>
      </c>
      <c r="J2" s="120" t="s">
        <v>2</v>
      </c>
      <c r="K2" s="119" t="s">
        <v>55</v>
      </c>
      <c r="L2" s="119" t="str">
        <f ca="1">OFFSET(CURVAS!B3,0,$B$18-1)</f>
        <v>BORNAY 3000</v>
      </c>
      <c r="M2" s="119" t="s">
        <v>27</v>
      </c>
      <c r="N2" s="119" t="s">
        <v>56</v>
      </c>
    </row>
    <row r="3" spans="1:14" ht="15.6" x14ac:dyDescent="0.25">
      <c r="A3" s="121" t="s">
        <v>116</v>
      </c>
      <c r="B3" s="96">
        <v>5.96</v>
      </c>
      <c r="C3" s="116"/>
      <c r="D3" s="164"/>
      <c r="E3" s="122">
        <v>1</v>
      </c>
      <c r="F3" s="123">
        <v>1</v>
      </c>
      <c r="G3" s="124">
        <f t="shared" ref="G3:G27" si="0">0.5*$B$9*$F3^3</f>
        <v>0.61250000000000004</v>
      </c>
      <c r="H3" s="125">
        <f t="shared" ref="H3:H27" si="1">WEIBULL(F3+$F$1,$B$7,$B$8,TRUE)</f>
        <v>4.1861719486740279E-2</v>
      </c>
      <c r="I3" s="125">
        <f>H3</f>
        <v>4.1861719486740279E-2</v>
      </c>
      <c r="J3" s="126">
        <f t="shared" ref="J3:J27" si="2">$B$34*I3</f>
        <v>366.70866270384482</v>
      </c>
      <c r="K3" s="124">
        <f t="shared" ref="K3:K27" si="3">$G3*$I3</f>
        <v>2.5640303185628422E-2</v>
      </c>
      <c r="L3" s="127">
        <f ca="1">OFFSET(CURVAS!$A$3,E3,$B$18)</f>
        <v>0</v>
      </c>
      <c r="M3" s="127">
        <f t="shared" ref="M3:M27" ca="1" si="4">J3*L3</f>
        <v>0</v>
      </c>
      <c r="N3" s="128">
        <f t="shared" ref="N3:N27" ca="1" si="5">$L3*$I3*1000/$B$21</f>
        <v>0</v>
      </c>
    </row>
    <row r="4" spans="1:14" ht="15.75" customHeight="1" x14ac:dyDescent="0.25">
      <c r="A4" s="121" t="s">
        <v>1</v>
      </c>
      <c r="B4" s="97">
        <v>2.1</v>
      </c>
      <c r="C4" s="163" t="str">
        <f>IF(B4=2,"Raylegih","Weibull")</f>
        <v>Weibull</v>
      </c>
      <c r="D4" s="116"/>
      <c r="E4" s="122">
        <v>2</v>
      </c>
      <c r="F4" s="123">
        <v>2</v>
      </c>
      <c r="G4" s="124">
        <f t="shared" si="0"/>
        <v>4.9000000000000004</v>
      </c>
      <c r="H4" s="125">
        <f t="shared" si="1"/>
        <v>0.11751382637838514</v>
      </c>
      <c r="I4" s="125">
        <f t="shared" ref="I4:I27" si="6">H4-H3</f>
        <v>7.5652106891644866E-2</v>
      </c>
      <c r="J4" s="126">
        <f t="shared" si="2"/>
        <v>662.71245637080904</v>
      </c>
      <c r="K4" s="124">
        <f t="shared" si="3"/>
        <v>0.37069532376905989</v>
      </c>
      <c r="L4" s="127">
        <f ca="1">OFFSET(CURVAS!$A$3,E4,$B$18)</f>
        <v>0.66137566137614201</v>
      </c>
      <c r="M4" s="127">
        <f t="shared" ca="1" si="4"/>
        <v>438.30188913445147</v>
      </c>
      <c r="N4" s="128">
        <f t="shared" ca="1" si="5"/>
        <v>3.9816159944214524</v>
      </c>
    </row>
    <row r="5" spans="1:14" ht="15.6" x14ac:dyDescent="0.25">
      <c r="A5" s="121" t="s">
        <v>85</v>
      </c>
      <c r="B5" s="99">
        <v>40</v>
      </c>
      <c r="C5" s="165"/>
      <c r="D5" s="164"/>
      <c r="E5" s="122">
        <v>3</v>
      </c>
      <c r="F5" s="123">
        <v>3</v>
      </c>
      <c r="G5" s="124">
        <f t="shared" si="0"/>
        <v>16.537500000000001</v>
      </c>
      <c r="H5" s="125">
        <f t="shared" si="1"/>
        <v>0.22384921673111852</v>
      </c>
      <c r="I5" s="125">
        <f t="shared" si="6"/>
        <v>0.10633539035273337</v>
      </c>
      <c r="J5" s="126">
        <f t="shared" si="2"/>
        <v>931.49801948994434</v>
      </c>
      <c r="K5" s="124">
        <f t="shared" si="3"/>
        <v>1.7585215179583282</v>
      </c>
      <c r="L5" s="127">
        <f ca="1">OFFSET(CURVAS!$A$3,E5,$B$18)</f>
        <v>166.20163690476201</v>
      </c>
      <c r="M5" s="127">
        <f t="shared" ca="1" si="4"/>
        <v>154816.49561277265</v>
      </c>
      <c r="N5" s="128">
        <f t="shared" ca="1" si="5"/>
        <v>1406.3818806471174</v>
      </c>
    </row>
    <row r="6" spans="1:14" x14ac:dyDescent="0.25">
      <c r="A6" s="129" t="s">
        <v>54</v>
      </c>
      <c r="B6" s="130">
        <f>B3/_xlfn.GAMMA(1+1/B4)</f>
        <v>6.7291893114093382</v>
      </c>
      <c r="C6" s="166"/>
      <c r="D6" s="164"/>
      <c r="E6" s="122">
        <v>4</v>
      </c>
      <c r="F6" s="123">
        <v>4</v>
      </c>
      <c r="G6" s="124">
        <f t="shared" si="0"/>
        <v>39.200000000000003</v>
      </c>
      <c r="H6" s="125">
        <f t="shared" si="1"/>
        <v>0.34920505455193041</v>
      </c>
      <c r="I6" s="125">
        <f t="shared" si="6"/>
        <v>0.12535583782081189</v>
      </c>
      <c r="J6" s="126">
        <f t="shared" si="2"/>
        <v>1098.117139310312</v>
      </c>
      <c r="K6" s="124">
        <f t="shared" si="3"/>
        <v>4.9139488425758264</v>
      </c>
      <c r="L6" s="127">
        <f ca="1">OFFSET(CURVAS!$A$3,E6,$B$18)</f>
        <v>492.48120300751901</v>
      </c>
      <c r="M6" s="127">
        <f t="shared" ca="1" si="4"/>
        <v>540802.04981071781</v>
      </c>
      <c r="N6" s="128">
        <f t="shared" ca="1" si="5"/>
        <v>4912.746544612166</v>
      </c>
    </row>
    <row r="7" spans="1:14" x14ac:dyDescent="0.25">
      <c r="A7" s="131" t="s">
        <v>3</v>
      </c>
      <c r="B7" s="162">
        <f>B4</f>
        <v>2.1</v>
      </c>
      <c r="C7" s="167"/>
      <c r="D7" s="164"/>
      <c r="E7" s="122">
        <v>5</v>
      </c>
      <c r="F7" s="123">
        <v>5</v>
      </c>
      <c r="G7" s="124">
        <f t="shared" si="0"/>
        <v>76.5625</v>
      </c>
      <c r="H7" s="125">
        <f t="shared" si="1"/>
        <v>0.48040015413984438</v>
      </c>
      <c r="I7" s="125">
        <f t="shared" si="6"/>
        <v>0.13119509958791398</v>
      </c>
      <c r="J7" s="126">
        <f t="shared" si="2"/>
        <v>1149.2690723901264</v>
      </c>
      <c r="K7" s="124">
        <f t="shared" si="3"/>
        <v>10.044624812199665</v>
      </c>
      <c r="L7" s="127">
        <f ca="1">OFFSET(CURVAS!$A$3,E7,$B$18)</f>
        <v>837.79761904761995</v>
      </c>
      <c r="M7" s="127">
        <f t="shared" ca="1" si="4"/>
        <v>962854.89249351469</v>
      </c>
      <c r="N7" s="128">
        <f t="shared" ca="1" si="5"/>
        <v>8746.7531746894037</v>
      </c>
    </row>
    <row r="8" spans="1:14" x14ac:dyDescent="0.25">
      <c r="A8" s="131" t="s">
        <v>4</v>
      </c>
      <c r="B8" s="132">
        <f>B14</f>
        <v>6.7291893114093382</v>
      </c>
      <c r="C8" s="167"/>
      <c r="D8" s="164"/>
      <c r="E8" s="122">
        <v>6</v>
      </c>
      <c r="F8" s="123">
        <v>6</v>
      </c>
      <c r="G8" s="124">
        <f t="shared" si="0"/>
        <v>132.30000000000001</v>
      </c>
      <c r="H8" s="125">
        <f t="shared" si="1"/>
        <v>0.60537306520212664</v>
      </c>
      <c r="I8" s="125">
        <f t="shared" si="6"/>
        <v>0.12497291106228225</v>
      </c>
      <c r="J8" s="126">
        <f t="shared" si="2"/>
        <v>1094.7627009055925</v>
      </c>
      <c r="K8" s="124">
        <f t="shared" si="3"/>
        <v>16.533916133539943</v>
      </c>
      <c r="L8" s="127">
        <f ca="1">OFFSET(CURVAS!$A$3,E8,$B$18)</f>
        <v>1192.68267651888</v>
      </c>
      <c r="M8" s="127">
        <f t="shared" ca="1" si="4"/>
        <v>1305704.5082691202</v>
      </c>
      <c r="N8" s="128">
        <f t="shared" ca="1" si="5"/>
        <v>11861.26293997734</v>
      </c>
    </row>
    <row r="9" spans="1:14" x14ac:dyDescent="0.25">
      <c r="A9" s="133" t="s">
        <v>52</v>
      </c>
      <c r="B9" s="134">
        <v>1.2250000000000001</v>
      </c>
      <c r="C9" s="168"/>
      <c r="D9" s="164"/>
      <c r="E9" s="122">
        <v>7</v>
      </c>
      <c r="F9" s="123">
        <v>7</v>
      </c>
      <c r="G9" s="124">
        <f t="shared" si="0"/>
        <v>210.08750000000001</v>
      </c>
      <c r="H9" s="125">
        <f t="shared" si="1"/>
        <v>0.71514092509291349</v>
      </c>
      <c r="I9" s="125">
        <f t="shared" si="6"/>
        <v>0.10976785989078686</v>
      </c>
      <c r="J9" s="126">
        <f t="shared" si="2"/>
        <v>961.56645264329291</v>
      </c>
      <c r="K9" s="124">
        <f t="shared" si="3"/>
        <v>23.060855264805685</v>
      </c>
      <c r="L9" s="127">
        <f ca="1">OFFSET(CURVAS!$A$3,E9,$B$18)</f>
        <v>1550.1700680272099</v>
      </c>
      <c r="M9" s="127">
        <f ca="1">J9*L9</f>
        <v>1490591.5333067363</v>
      </c>
      <c r="N9" s="128">
        <f t="shared" ca="1" si="5"/>
        <v>13540.81111054193</v>
      </c>
    </row>
    <row r="10" spans="1:14" x14ac:dyDescent="0.25">
      <c r="A10" s="133" t="s">
        <v>53</v>
      </c>
      <c r="B10" s="135">
        <f>SUM(K3:K27)</f>
        <v>237.16201409134229</v>
      </c>
      <c r="C10" s="169"/>
      <c r="D10" s="136"/>
      <c r="E10" s="122">
        <v>8</v>
      </c>
      <c r="F10" s="123">
        <v>8</v>
      </c>
      <c r="G10" s="124">
        <f t="shared" si="0"/>
        <v>313.60000000000002</v>
      </c>
      <c r="H10" s="125">
        <f t="shared" si="1"/>
        <v>0.80471006296254965</v>
      </c>
      <c r="I10" s="125">
        <f>H10-H9</f>
        <v>8.9569137869636162E-2</v>
      </c>
      <c r="J10" s="126">
        <f t="shared" si="2"/>
        <v>784.62564773801273</v>
      </c>
      <c r="K10" s="124">
        <f t="shared" si="3"/>
        <v>28.088881635917904</v>
      </c>
      <c r="L10" s="127">
        <f ca="1">OFFSET(CURVAS!$A$3,E10,$B$18)</f>
        <v>1943.1444991789799</v>
      </c>
      <c r="M10" s="127">
        <f t="shared" ca="1" si="4"/>
        <v>1524641.0113168634</v>
      </c>
      <c r="N10" s="128">
        <f t="shared" ca="1" si="5"/>
        <v>13850.122910485456</v>
      </c>
    </row>
    <row r="11" spans="1:14" ht="18" customHeight="1" x14ac:dyDescent="0.25">
      <c r="A11" s="121" t="s">
        <v>86</v>
      </c>
      <c r="B11" s="98">
        <v>0.75</v>
      </c>
      <c r="C11" s="170"/>
      <c r="E11" s="122">
        <v>9</v>
      </c>
      <c r="F11" s="123">
        <v>9</v>
      </c>
      <c r="G11" s="124">
        <f t="shared" si="0"/>
        <v>446.51250000000005</v>
      </c>
      <c r="H11" s="125">
        <f t="shared" si="1"/>
        <v>0.87292695926875041</v>
      </c>
      <c r="I11" s="125">
        <f t="shared" si="6"/>
        <v>6.8216896306200758E-2</v>
      </c>
      <c r="J11" s="126">
        <f t="shared" si="2"/>
        <v>597.5800116423186</v>
      </c>
      <c r="K11" s="124">
        <f t="shared" si="3"/>
        <v>30.459696911922467</v>
      </c>
      <c r="L11" s="127">
        <f ca="1">OFFSET(CURVAS!$A$3,E11,$B$18)</f>
        <v>2230.9253246753201</v>
      </c>
      <c r="M11" s="127">
        <f t="shared" ca="1" si="4"/>
        <v>1333156.3814926213</v>
      </c>
      <c r="N11" s="128">
        <f t="shared" ca="1" si="5"/>
        <v>12110.640869238316</v>
      </c>
    </row>
    <row r="12" spans="1:14" ht="15.6" x14ac:dyDescent="0.25">
      <c r="A12" s="121" t="s">
        <v>90</v>
      </c>
      <c r="B12" s="99">
        <v>40</v>
      </c>
      <c r="C12" s="165"/>
      <c r="D12" s="137"/>
      <c r="E12" s="122">
        <v>10</v>
      </c>
      <c r="F12" s="123">
        <v>10</v>
      </c>
      <c r="G12" s="124">
        <f t="shared" si="0"/>
        <v>612.5</v>
      </c>
      <c r="H12" s="125">
        <f t="shared" si="1"/>
        <v>0.92156739720748837</v>
      </c>
      <c r="I12" s="125">
        <f t="shared" si="6"/>
        <v>4.8640437938737957E-2</v>
      </c>
      <c r="J12" s="126">
        <f t="shared" si="2"/>
        <v>426.09023634334449</v>
      </c>
      <c r="K12" s="124">
        <f t="shared" si="3"/>
        <v>29.792268237477</v>
      </c>
      <c r="L12" s="127">
        <f ca="1">OFFSET(CURVAS!$A$3,E12,$B$18)</f>
        <v>2498.1398809523798</v>
      </c>
      <c r="M12" s="127">
        <f t="shared" ca="1" si="4"/>
        <v>1064433.0122937339</v>
      </c>
      <c r="N12" s="128">
        <f t="shared" ca="1" si="5"/>
        <v>9669.507733832419</v>
      </c>
    </row>
    <row r="13" spans="1:14" x14ac:dyDescent="0.25">
      <c r="A13" s="138" t="s">
        <v>92</v>
      </c>
      <c r="B13" s="139">
        <f>LOG(B12/B11)/LOG(B5/B11)</f>
        <v>1</v>
      </c>
      <c r="C13" s="116"/>
      <c r="D13" s="137"/>
      <c r="E13" s="122">
        <v>11</v>
      </c>
      <c r="F13" s="123">
        <v>11</v>
      </c>
      <c r="G13" s="124">
        <f t="shared" si="0"/>
        <v>815.23750000000007</v>
      </c>
      <c r="H13" s="125">
        <f t="shared" si="1"/>
        <v>0.95410361468311367</v>
      </c>
      <c r="I13" s="125">
        <f t="shared" si="6"/>
        <v>3.2536217475625295E-2</v>
      </c>
      <c r="J13" s="126">
        <f t="shared" si="2"/>
        <v>285.01726508647761</v>
      </c>
      <c r="K13" s="124">
        <f t="shared" si="3"/>
        <v>26.524744594285078</v>
      </c>
      <c r="L13" s="127">
        <f ca="1">OFFSET(CURVAS!$A$3,E13,$B$18)</f>
        <v>2859.375</v>
      </c>
      <c r="M13" s="127">
        <f t="shared" ca="1" si="4"/>
        <v>814971.24235664692</v>
      </c>
      <c r="N13" s="128">
        <f t="shared" ca="1" si="5"/>
        <v>7403.3505535846671</v>
      </c>
    </row>
    <row r="14" spans="1:14" x14ac:dyDescent="0.25">
      <c r="A14" s="138" t="s">
        <v>91</v>
      </c>
      <c r="B14" s="139">
        <f>B6*B13</f>
        <v>6.7291893114093382</v>
      </c>
      <c r="C14" s="171"/>
      <c r="D14" s="137"/>
      <c r="E14" s="122">
        <v>12</v>
      </c>
      <c r="F14" s="123">
        <v>12</v>
      </c>
      <c r="G14" s="124">
        <f t="shared" si="0"/>
        <v>1058.4000000000001</v>
      </c>
      <c r="H14" s="125">
        <f t="shared" si="1"/>
        <v>0.97455004261112455</v>
      </c>
      <c r="I14" s="125">
        <f t="shared" si="6"/>
        <v>2.044642792801088E-2</v>
      </c>
      <c r="J14" s="126">
        <f t="shared" si="2"/>
        <v>179.11070864937531</v>
      </c>
      <c r="K14" s="124">
        <f t="shared" si="3"/>
        <v>21.640499319006718</v>
      </c>
      <c r="L14" s="127">
        <f ca="1">OFFSET(CURVAS!$A$3,E14,$B$18)</f>
        <v>3086.4661654135398</v>
      </c>
      <c r="M14" s="127">
        <f t="shared" ca="1" si="4"/>
        <v>552819.14210953913</v>
      </c>
      <c r="N14" s="128">
        <f t="shared" ca="1" si="5"/>
        <v>5021.9120492325401</v>
      </c>
    </row>
    <row r="15" spans="1:14" x14ac:dyDescent="0.25">
      <c r="A15" s="138" t="s">
        <v>51</v>
      </c>
      <c r="B15" s="139">
        <f>$B$14*EXP(GAMMALN(1+1/$B$4))</f>
        <v>5.9599999999999991</v>
      </c>
      <c r="C15" s="171"/>
      <c r="D15" s="137"/>
      <c r="E15" s="122">
        <v>13</v>
      </c>
      <c r="F15" s="123">
        <v>13</v>
      </c>
      <c r="G15" s="124">
        <f t="shared" si="0"/>
        <v>1345.6625000000001</v>
      </c>
      <c r="H15" s="125">
        <f t="shared" si="1"/>
        <v>0.98663323089166544</v>
      </c>
      <c r="I15" s="125">
        <f t="shared" si="6"/>
        <v>1.2083188280540891E-2</v>
      </c>
      <c r="J15" s="126">
        <f t="shared" si="2"/>
        <v>105.8487293375382</v>
      </c>
      <c r="K15" s="124">
        <f t="shared" si="3"/>
        <v>16.25989334956336</v>
      </c>
      <c r="L15" s="127">
        <f ca="1">OFFSET(CURVAS!$A$3,E15,$B$18)</f>
        <v>3313.5162601625998</v>
      </c>
      <c r="M15" s="127">
        <f t="shared" ca="1" si="4"/>
        <v>350731.48577748286</v>
      </c>
      <c r="N15" s="128">
        <f t="shared" ca="1" si="5"/>
        <v>3186.1101403796333</v>
      </c>
    </row>
    <row r="16" spans="1:14" x14ac:dyDescent="0.25">
      <c r="D16" s="137"/>
      <c r="E16" s="122">
        <v>14</v>
      </c>
      <c r="F16" s="123">
        <v>14</v>
      </c>
      <c r="G16" s="124">
        <f t="shared" si="0"/>
        <v>1680.7</v>
      </c>
      <c r="H16" s="125">
        <f t="shared" si="1"/>
        <v>0.99335317278272761</v>
      </c>
      <c r="I16" s="125">
        <f t="shared" si="6"/>
        <v>6.7199418910621755E-3</v>
      </c>
      <c r="J16" s="126">
        <f t="shared" si="2"/>
        <v>58.866690965704656</v>
      </c>
      <c r="K16" s="124">
        <f t="shared" si="3"/>
        <v>11.294206336308198</v>
      </c>
      <c r="L16" s="127">
        <f ca="1">OFFSET(CURVAS!$A$3,E16,$B$18)</f>
        <v>3424.78813559322</v>
      </c>
      <c r="M16" s="127">
        <f t="shared" ca="1" si="4"/>
        <v>201605.94480097789</v>
      </c>
      <c r="N16" s="128">
        <f t="shared" ca="1" si="5"/>
        <v>1831.4259515860406</v>
      </c>
    </row>
    <row r="17" spans="1:14" x14ac:dyDescent="0.25">
      <c r="D17" s="137"/>
      <c r="E17" s="122">
        <v>15</v>
      </c>
      <c r="F17" s="123">
        <v>15</v>
      </c>
      <c r="G17" s="124">
        <f t="shared" si="0"/>
        <v>2067.1875</v>
      </c>
      <c r="H17" s="125">
        <f t="shared" si="1"/>
        <v>0.99687190146657068</v>
      </c>
      <c r="I17" s="125">
        <f t="shared" si="6"/>
        <v>3.5187286838430643E-3</v>
      </c>
      <c r="J17" s="126">
        <f t="shared" si="2"/>
        <v>30.824063270465242</v>
      </c>
      <c r="K17" s="124">
        <f t="shared" si="3"/>
        <v>7.2738719511318344</v>
      </c>
      <c r="L17" s="127">
        <f ca="1">OFFSET(CURVAS!$A$3,E17,$B$18)</f>
        <v>3222.20540758676</v>
      </c>
      <c r="M17" s="127">
        <f t="shared" ca="1" si="4"/>
        <v>99321.463353889529</v>
      </c>
      <c r="N17" s="128">
        <f t="shared" ca="1" si="5"/>
        <v>902.25467168333648</v>
      </c>
    </row>
    <row r="18" spans="1:14" ht="21" x14ac:dyDescent="0.4">
      <c r="A18" s="141" t="s">
        <v>111</v>
      </c>
      <c r="B18" s="41">
        <v>19</v>
      </c>
      <c r="E18" s="122">
        <v>16</v>
      </c>
      <c r="F18" s="123">
        <v>16</v>
      </c>
      <c r="G18" s="124">
        <f t="shared" si="0"/>
        <v>2508.8000000000002</v>
      </c>
      <c r="H18" s="125">
        <f t="shared" si="1"/>
        <v>0.99860727820338757</v>
      </c>
      <c r="I18" s="125">
        <f t="shared" si="6"/>
        <v>1.735376736816896E-3</v>
      </c>
      <c r="J18" s="126">
        <f t="shared" si="2"/>
        <v>15.201900214516009</v>
      </c>
      <c r="K18" s="124">
        <f t="shared" si="3"/>
        <v>4.3537131573262293</v>
      </c>
      <c r="L18" s="127">
        <f ca="1">OFFSET(CURVAS!$A$3,E18,$B$18)</f>
        <v>3029.56989247312</v>
      </c>
      <c r="M18" s="127">
        <f t="shared" ca="1" si="4"/>
        <v>46055.219198278362</v>
      </c>
      <c r="N18" s="128">
        <f t="shared" ca="1" si="5"/>
        <v>418.37418896043152</v>
      </c>
    </row>
    <row r="19" spans="1:14" x14ac:dyDescent="0.25">
      <c r="A19" s="142" t="s">
        <v>30</v>
      </c>
      <c r="B19" s="143">
        <f ca="1">OFFSET(CURVAS!$A$3,-1,(Calculo!$B$18-1)+1)</f>
        <v>3</v>
      </c>
      <c r="E19" s="122">
        <v>17</v>
      </c>
      <c r="F19" s="123">
        <v>17</v>
      </c>
      <c r="G19" s="124">
        <f t="shared" si="0"/>
        <v>3009.2125000000001</v>
      </c>
      <c r="H19" s="125">
        <f t="shared" si="1"/>
        <v>0.99941357144349907</v>
      </c>
      <c r="I19" s="125">
        <f t="shared" si="6"/>
        <v>8.0629324011149972E-4</v>
      </c>
      <c r="J19" s="126">
        <f t="shared" si="2"/>
        <v>7.0631287833767376</v>
      </c>
      <c r="K19" s="124">
        <f t="shared" si="3"/>
        <v>2.4263076968090265</v>
      </c>
      <c r="L19" s="127">
        <f ca="1">OFFSET(CURVAS!$A$3,E19,$B$18)</f>
        <v>3094.9500768049202</v>
      </c>
      <c r="M19" s="127">
        <f t="shared" ca="1" si="4"/>
        <v>21860.030970594875</v>
      </c>
      <c r="N19" s="128">
        <f t="shared" ca="1" si="5"/>
        <v>198.58059275753979</v>
      </c>
    </row>
    <row r="20" spans="1:14" x14ac:dyDescent="0.25">
      <c r="A20" s="144" t="s">
        <v>37</v>
      </c>
      <c r="B20" s="145" t="str">
        <f ca="1">OFFSET(CURVAS!B3,0,$B$18-1)</f>
        <v>BORNAY 3000</v>
      </c>
      <c r="E20" s="122">
        <v>18</v>
      </c>
      <c r="F20" s="123">
        <v>18</v>
      </c>
      <c r="G20" s="124">
        <f t="shared" si="0"/>
        <v>3572.1000000000004</v>
      </c>
      <c r="H20" s="125">
        <f t="shared" si="1"/>
        <v>0.99976655232452338</v>
      </c>
      <c r="I20" s="125">
        <f t="shared" si="6"/>
        <v>3.529808810243118E-4</v>
      </c>
      <c r="J20" s="126">
        <f t="shared" si="2"/>
        <v>3.0921125177729714</v>
      </c>
      <c r="K20" s="124">
        <f t="shared" si="3"/>
        <v>1.2608830051069444</v>
      </c>
      <c r="L20" s="127">
        <f ca="1">OFFSET(CURVAS!$A$3,E20,$B$18)</f>
        <v>3166.0401002506301</v>
      </c>
      <c r="M20" s="127">
        <f t="shared" ca="1" si="4"/>
        <v>9789.7522257561668</v>
      </c>
      <c r="N20" s="128">
        <f t="shared" ca="1" si="5"/>
        <v>88.931932555592383</v>
      </c>
    </row>
    <row r="21" spans="1:14" s="148" customFormat="1" x14ac:dyDescent="0.25">
      <c r="A21" s="146" t="s">
        <v>42</v>
      </c>
      <c r="B21" s="147">
        <f ca="1">OFFSET(AEROS!C4,$B$18-1,6)</f>
        <v>12.566370614359172</v>
      </c>
      <c r="E21" s="122">
        <v>19</v>
      </c>
      <c r="F21" s="123">
        <v>19</v>
      </c>
      <c r="G21" s="124">
        <f t="shared" si="0"/>
        <v>4201.1375000000007</v>
      </c>
      <c r="H21" s="125">
        <f t="shared" si="1"/>
        <v>0.99991216819579398</v>
      </c>
      <c r="I21" s="125">
        <f t="shared" si="6"/>
        <v>1.4561587127059905E-4</v>
      </c>
      <c r="J21" s="126">
        <f t="shared" si="2"/>
        <v>1.2755950323304477</v>
      </c>
      <c r="K21" s="124">
        <f t="shared" si="3"/>
        <v>0.61175229739008641</v>
      </c>
      <c r="L21" s="127">
        <f ca="1">OFFSET(CURVAS!$A$3,E21,$B$18)</f>
        <v>3193.33386009271</v>
      </c>
      <c r="M21" s="127">
        <f t="shared" ca="1" si="4"/>
        <v>4073.4008085068735</v>
      </c>
      <c r="N21" s="128">
        <f t="shared" ca="1" si="5"/>
        <v>37.00353161349269</v>
      </c>
    </row>
    <row r="22" spans="1:14" x14ac:dyDescent="0.25">
      <c r="A22" s="149" t="s">
        <v>43</v>
      </c>
      <c r="B22" s="150">
        <f ca="1">B19/B21</f>
        <v>0.238732414637843</v>
      </c>
      <c r="E22" s="122">
        <v>20</v>
      </c>
      <c r="F22" s="123">
        <v>20</v>
      </c>
      <c r="G22" s="124">
        <f t="shared" si="0"/>
        <v>4900</v>
      </c>
      <c r="H22" s="125">
        <f t="shared" si="1"/>
        <v>0.99996877715845456</v>
      </c>
      <c r="I22" s="125">
        <f t="shared" si="6"/>
        <v>5.6608962660575912E-5</v>
      </c>
      <c r="J22" s="126">
        <f t="shared" si="2"/>
        <v>0.49589451290664499</v>
      </c>
      <c r="K22" s="124">
        <f t="shared" si="3"/>
        <v>0.27738391703682197</v>
      </c>
      <c r="L22" s="127">
        <f ca="1">OFFSET(CURVAS!$A$3,E22,$B$18)</f>
        <v>3220.2380952381</v>
      </c>
      <c r="M22" s="127">
        <f t="shared" ca="1" si="4"/>
        <v>1596.8984016815198</v>
      </c>
      <c r="N22" s="128">
        <f t="shared" ca="1" si="5"/>
        <v>14.506522502463524</v>
      </c>
    </row>
    <row r="23" spans="1:14" x14ac:dyDescent="0.25">
      <c r="A23" s="142" t="s">
        <v>45</v>
      </c>
      <c r="B23" s="172">
        <f ca="1">SUM(M3:M27)/1000</f>
        <v>10480.262766488573</v>
      </c>
      <c r="E23" s="122">
        <v>21</v>
      </c>
      <c r="F23" s="123">
        <v>21</v>
      </c>
      <c r="G23" s="124">
        <f t="shared" si="0"/>
        <v>5672.3625000000002</v>
      </c>
      <c r="H23" s="125">
        <f t="shared" si="1"/>
        <v>0.99998951598030572</v>
      </c>
      <c r="I23" s="125">
        <f t="shared" si="6"/>
        <v>2.0738821851162825E-5</v>
      </c>
      <c r="J23" s="126">
        <f t="shared" si="2"/>
        <v>0.18167207941618635</v>
      </c>
      <c r="K23" s="124">
        <f t="shared" si="3"/>
        <v>0.11763811536271659</v>
      </c>
      <c r="L23" s="127">
        <f ca="1">OFFSET(CURVAS!$A$3,E23,$B$18)</f>
        <v>0</v>
      </c>
      <c r="M23" s="127">
        <f t="shared" ca="1" si="4"/>
        <v>0</v>
      </c>
      <c r="N23" s="128">
        <f t="shared" ca="1" si="5"/>
        <v>0</v>
      </c>
    </row>
    <row r="24" spans="1:14" x14ac:dyDescent="0.25">
      <c r="A24" s="144" t="s">
        <v>28</v>
      </c>
      <c r="B24" s="152">
        <f ca="1">B23*1000/B19</f>
        <v>3493420.9221628574</v>
      </c>
      <c r="E24" s="122">
        <v>22</v>
      </c>
      <c r="F24" s="123">
        <v>22</v>
      </c>
      <c r="G24" s="124">
        <f t="shared" si="0"/>
        <v>6521.9000000000005</v>
      </c>
      <c r="H24" s="125">
        <f t="shared" si="1"/>
        <v>0.99999667570359818</v>
      </c>
      <c r="I24" s="125">
        <f t="shared" si="6"/>
        <v>7.1597232924602849E-6</v>
      </c>
      <c r="J24" s="126">
        <f t="shared" si="2"/>
        <v>6.2719176041952096E-2</v>
      </c>
      <c r="K24" s="124">
        <f t="shared" si="3"/>
        <v>4.6694999341096735E-2</v>
      </c>
      <c r="L24" s="127">
        <f ca="1">OFFSET(CURVAS!$A$3,E24,$B$18)</f>
        <v>0</v>
      </c>
      <c r="M24" s="127">
        <f t="shared" ca="1" si="4"/>
        <v>0</v>
      </c>
      <c r="N24" s="128">
        <f t="shared" ca="1" si="5"/>
        <v>0</v>
      </c>
    </row>
    <row r="25" spans="1:14" x14ac:dyDescent="0.25">
      <c r="A25" s="142" t="s">
        <v>29</v>
      </c>
      <c r="B25" s="143">
        <f ca="1">B23*1000/$B$34</f>
        <v>1196.377028137965</v>
      </c>
      <c r="E25" s="122">
        <v>23</v>
      </c>
      <c r="F25" s="123">
        <v>23</v>
      </c>
      <c r="G25" s="124">
        <f t="shared" si="0"/>
        <v>7452.2875000000004</v>
      </c>
      <c r="H25" s="125">
        <f t="shared" si="1"/>
        <v>0.9999990048816374</v>
      </c>
      <c r="I25" s="125">
        <f t="shared" si="6"/>
        <v>2.3291780392176165E-6</v>
      </c>
      <c r="J25" s="126">
        <f t="shared" si="2"/>
        <v>2.040359962354632E-2</v>
      </c>
      <c r="K25" s="124">
        <f t="shared" si="3"/>
        <v>1.7357704386935954E-2</v>
      </c>
      <c r="L25" s="127">
        <f ca="1">OFFSET(CURVAS!$A$3,E25,$B$18)</f>
        <v>0</v>
      </c>
      <c r="M25" s="127">
        <f t="shared" ca="1" si="4"/>
        <v>0</v>
      </c>
      <c r="N25" s="128">
        <f t="shared" ca="1" si="5"/>
        <v>0</v>
      </c>
    </row>
    <row r="26" spans="1:14" x14ac:dyDescent="0.25">
      <c r="A26" s="153" t="s">
        <v>31</v>
      </c>
      <c r="B26" s="154">
        <f ca="1">B25/B19</f>
        <v>398.792342712655</v>
      </c>
      <c r="E26" s="122">
        <v>24</v>
      </c>
      <c r="F26" s="123">
        <v>24</v>
      </c>
      <c r="G26" s="124">
        <f t="shared" si="0"/>
        <v>8467.2000000000007</v>
      </c>
      <c r="H26" s="125">
        <f t="shared" si="1"/>
        <v>0.99999971884626115</v>
      </c>
      <c r="I26" s="125">
        <f t="shared" si="6"/>
        <v>7.1396462375528102E-7</v>
      </c>
      <c r="J26" s="126">
        <f t="shared" si="2"/>
        <v>6.2543301040962618E-3</v>
      </c>
      <c r="K26" s="124">
        <f t="shared" si="3"/>
        <v>6.0452812622607162E-3</v>
      </c>
      <c r="L26" s="127">
        <f ca="1">OFFSET(CURVAS!$A$3,E26,$B$18)</f>
        <v>0</v>
      </c>
      <c r="M26" s="127">
        <f t="shared" ca="1" si="4"/>
        <v>0</v>
      </c>
      <c r="N26" s="128">
        <f t="shared" ca="1" si="5"/>
        <v>0</v>
      </c>
    </row>
    <row r="27" spans="1:14" x14ac:dyDescent="0.25">
      <c r="A27" s="155" t="s">
        <v>36</v>
      </c>
      <c r="B27" s="151">
        <f ca="1">B23/B33</f>
        <v>1966.2781925869742</v>
      </c>
      <c r="E27" s="122">
        <v>25</v>
      </c>
      <c r="F27" s="123">
        <v>25</v>
      </c>
      <c r="G27" s="124">
        <f t="shared" si="0"/>
        <v>9570.3125</v>
      </c>
      <c r="H27" s="125">
        <f t="shared" si="1"/>
        <v>0.99999992504471846</v>
      </c>
      <c r="I27" s="125">
        <f t="shared" si="6"/>
        <v>2.061984573087372E-7</v>
      </c>
      <c r="J27" s="126">
        <f t="shared" si="2"/>
        <v>1.8062984860245379E-3</v>
      </c>
      <c r="K27" s="124">
        <f t="shared" si="3"/>
        <v>1.973383673462524E-3</v>
      </c>
      <c r="L27" s="127">
        <f ca="1">OFFSET(CURVAS!$A$3,E27,$B$18)</f>
        <v>0</v>
      </c>
      <c r="M27" s="127">
        <f t="shared" ca="1" si="4"/>
        <v>0</v>
      </c>
      <c r="N27" s="128">
        <f t="shared" ca="1" si="5"/>
        <v>0</v>
      </c>
    </row>
    <row r="28" spans="1:14" ht="15.6" x14ac:dyDescent="0.25">
      <c r="A28" s="153" t="s">
        <v>38</v>
      </c>
      <c r="B28" s="152">
        <f ca="1">B32*B23</f>
        <v>13624.341596435146</v>
      </c>
    </row>
    <row r="29" spans="1:14" x14ac:dyDescent="0.25">
      <c r="A29" s="155" t="s">
        <v>39</v>
      </c>
      <c r="B29" s="151">
        <f ca="1">B23*1000/B19</f>
        <v>3493420.9221628574</v>
      </c>
    </row>
    <row r="30" spans="1:14" x14ac:dyDescent="0.25">
      <c r="A30" s="153" t="s">
        <v>44</v>
      </c>
      <c r="B30" s="152">
        <f ca="1">B23*1000/B21</f>
        <v>833992.81209429924</v>
      </c>
    </row>
    <row r="31" spans="1:14" x14ac:dyDescent="0.25">
      <c r="A31" s="155" t="s">
        <v>48</v>
      </c>
      <c r="B31" s="156" t="s">
        <v>48</v>
      </c>
    </row>
    <row r="32" spans="1:14" ht="15.6" x14ac:dyDescent="0.25">
      <c r="A32" s="157" t="s">
        <v>47</v>
      </c>
      <c r="B32" s="158">
        <f>1.3</f>
        <v>1.3</v>
      </c>
    </row>
    <row r="33" spans="1:2" x14ac:dyDescent="0.25">
      <c r="A33" s="157" t="s">
        <v>46</v>
      </c>
      <c r="B33" s="158">
        <v>5.33</v>
      </c>
    </row>
    <row r="34" spans="1:2" x14ac:dyDescent="0.25">
      <c r="A34" s="159" t="s">
        <v>32</v>
      </c>
      <c r="B34" s="158">
        <f>365*24</f>
        <v>8760</v>
      </c>
    </row>
    <row r="36" spans="1:2" x14ac:dyDescent="0.25">
      <c r="A36" s="174" t="s">
        <v>112</v>
      </c>
      <c r="B36" s="174"/>
    </row>
    <row r="37" spans="1:2" x14ac:dyDescent="0.25">
      <c r="A37" s="104" t="s">
        <v>102</v>
      </c>
      <c r="B37" s="160">
        <v>13</v>
      </c>
    </row>
    <row r="38" spans="1:2" x14ac:dyDescent="0.25">
      <c r="A38" s="105" t="s">
        <v>108</v>
      </c>
      <c r="B38" s="106">
        <v>3</v>
      </c>
    </row>
    <row r="39" spans="1:2" x14ac:dyDescent="0.25">
      <c r="A39" s="104" t="s">
        <v>109</v>
      </c>
      <c r="B39" s="160">
        <v>25</v>
      </c>
    </row>
    <row r="40" spans="1:2" x14ac:dyDescent="0.25">
      <c r="A40" s="105" t="s">
        <v>106</v>
      </c>
      <c r="B40" s="106">
        <v>0.5</v>
      </c>
    </row>
    <row r="41" spans="1:2" x14ac:dyDescent="0.25">
      <c r="A41" s="104" t="s">
        <v>110</v>
      </c>
      <c r="B41" s="160">
        <v>44</v>
      </c>
    </row>
    <row r="56" spans="2:2" x14ac:dyDescent="0.25">
      <c r="B56" s="161"/>
    </row>
  </sheetData>
  <sheetProtection sheet="1" objects="1" scenarios="1"/>
  <mergeCells count="1">
    <mergeCell ref="A36:B36"/>
  </mergeCells>
  <phoneticPr fontId="1" type="noConversion"/>
  <conditionalFormatting sqref="A36:B41">
    <cfRule type="expression" dxfId="0" priority="1" stopIfTrue="1">
      <formula>IF($B$18=1,TRUE,FALSE)</formula>
    </cfRule>
  </conditionalFormatting>
  <pageMargins left="0.75" right="0.75" top="1" bottom="1" header="0" footer="0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topLeftCell="B1" workbookViewId="0">
      <selection activeCell="B23" sqref="B23"/>
    </sheetView>
  </sheetViews>
  <sheetFormatPr baseColWidth="10" defaultRowHeight="13.2" x14ac:dyDescent="0.25"/>
  <cols>
    <col min="1" max="1" width="2.5546875" customWidth="1"/>
    <col min="2" max="2" width="3.33203125" customWidth="1"/>
    <col min="3" max="3" width="19.5546875" customWidth="1"/>
    <col min="4" max="4" width="8.88671875" customWidth="1"/>
    <col min="5" max="5" width="9.109375" customWidth="1"/>
    <col min="6" max="6" width="53.88671875" customWidth="1"/>
    <col min="11" max="12" width="11.44140625" style="2" customWidth="1"/>
    <col min="13" max="13" width="11.44140625" style="3" customWidth="1"/>
    <col min="14" max="15" width="11.5546875" customWidth="1"/>
    <col min="18" max="18" width="13.88671875" customWidth="1"/>
  </cols>
  <sheetData>
    <row r="1" spans="1:20" x14ac:dyDescent="0.25">
      <c r="D1" s="88" t="s">
        <v>105</v>
      </c>
      <c r="E1">
        <v>1.2250000000000001</v>
      </c>
    </row>
    <row r="2" spans="1:20" ht="13.8" thickBot="1" x14ac:dyDescent="0.3">
      <c r="P2" s="175" t="s">
        <v>107</v>
      </c>
      <c r="Q2" s="175"/>
      <c r="R2" s="175"/>
      <c r="S2" s="175"/>
    </row>
    <row r="3" spans="1:20" s="4" customFormat="1" ht="29.25" customHeight="1" thickBot="1" x14ac:dyDescent="0.3">
      <c r="C3" s="34" t="s">
        <v>19</v>
      </c>
      <c r="D3" s="34" t="s">
        <v>12</v>
      </c>
      <c r="E3" s="34" t="s">
        <v>10</v>
      </c>
      <c r="F3" s="34" t="s">
        <v>11</v>
      </c>
      <c r="G3" s="34" t="s">
        <v>13</v>
      </c>
      <c r="H3" s="34" t="s">
        <v>41</v>
      </c>
      <c r="I3" s="34" t="s">
        <v>117</v>
      </c>
      <c r="J3" s="34" t="s">
        <v>40</v>
      </c>
      <c r="K3" s="35" t="s">
        <v>15</v>
      </c>
      <c r="L3" s="35" t="s">
        <v>16</v>
      </c>
      <c r="M3" s="35" t="s">
        <v>14</v>
      </c>
      <c r="N3" s="35" t="s">
        <v>17</v>
      </c>
      <c r="O3" s="101" t="s">
        <v>18</v>
      </c>
      <c r="P3" s="102" t="s">
        <v>102</v>
      </c>
      <c r="Q3" s="102" t="s">
        <v>103</v>
      </c>
      <c r="R3" s="102" t="s">
        <v>104</v>
      </c>
      <c r="S3" s="102" t="s">
        <v>106</v>
      </c>
    </row>
    <row r="4" spans="1:20" x14ac:dyDescent="0.25">
      <c r="A4" s="5"/>
      <c r="B4" s="5">
        <v>1</v>
      </c>
      <c r="C4" s="184" t="s">
        <v>121</v>
      </c>
      <c r="D4" s="100">
        <f>0.5*E1*PI()*H4^2/4*S4*P4^3/1000</f>
        <v>1023.0606686591286</v>
      </c>
      <c r="E4" s="6">
        <v>690</v>
      </c>
      <c r="F4" s="7" t="s">
        <v>101</v>
      </c>
      <c r="G4" s="7" t="s">
        <v>21</v>
      </c>
      <c r="H4" s="28">
        <f>Calculo!B41</f>
        <v>44</v>
      </c>
      <c r="I4" s="28">
        <f>PI()*(H4/2)^2</f>
        <v>1520.5308443374599</v>
      </c>
      <c r="J4" s="36">
        <v>80</v>
      </c>
      <c r="K4" s="8"/>
      <c r="L4" s="8"/>
      <c r="M4" s="28"/>
      <c r="N4" s="8"/>
      <c r="O4" s="8"/>
      <c r="P4" s="103">
        <f>Calculo!B37</f>
        <v>13</v>
      </c>
      <c r="Q4" s="103">
        <f>Calculo!B38</f>
        <v>3</v>
      </c>
      <c r="R4" s="103">
        <f>Calculo!B39</f>
        <v>25</v>
      </c>
      <c r="S4" s="103">
        <f>Calculo!B40</f>
        <v>0.5</v>
      </c>
      <c r="T4">
        <f>PI()*(H4/2)^2</f>
        <v>1520.5308443374599</v>
      </c>
    </row>
    <row r="5" spans="1:20" x14ac:dyDescent="0.25">
      <c r="A5" s="5"/>
      <c r="B5" s="5">
        <v>2</v>
      </c>
      <c r="C5" s="184" t="s">
        <v>5</v>
      </c>
      <c r="D5" s="6">
        <v>1300</v>
      </c>
      <c r="E5" s="6">
        <v>690</v>
      </c>
      <c r="F5" s="7" t="s">
        <v>20</v>
      </c>
      <c r="G5" s="7" t="s">
        <v>21</v>
      </c>
      <c r="H5" s="36">
        <v>62</v>
      </c>
      <c r="I5" s="28">
        <f t="shared" ref="I5:I18" si="0">PI()*(H5/2)^2</f>
        <v>3019.0705400997913</v>
      </c>
      <c r="J5" s="36">
        <v>49</v>
      </c>
      <c r="K5" s="8">
        <v>1501</v>
      </c>
      <c r="L5" s="8">
        <v>1027</v>
      </c>
      <c r="M5" s="28">
        <v>79</v>
      </c>
      <c r="N5" s="8">
        <v>19</v>
      </c>
      <c r="O5" s="8">
        <v>13</v>
      </c>
      <c r="T5">
        <f>PI()*(H5/2)^2</f>
        <v>3019.0705400997913</v>
      </c>
    </row>
    <row r="6" spans="1:20" x14ac:dyDescent="0.25">
      <c r="A6" s="5"/>
      <c r="B6" s="5">
        <v>3</v>
      </c>
      <c r="C6" s="185" t="s">
        <v>7</v>
      </c>
      <c r="D6" s="11">
        <v>660</v>
      </c>
      <c r="E6" s="11">
        <v>690</v>
      </c>
      <c r="F6" s="12" t="s">
        <v>22</v>
      </c>
      <c r="G6" s="12" t="s">
        <v>21</v>
      </c>
      <c r="H6" s="38">
        <v>47</v>
      </c>
      <c r="I6" s="28">
        <f t="shared" si="0"/>
        <v>1734.9445429449634</v>
      </c>
      <c r="J6" s="38">
        <v>45</v>
      </c>
      <c r="K6" s="23">
        <v>1626.1433999999999</v>
      </c>
      <c r="L6" s="23">
        <v>1199.8728000000001</v>
      </c>
      <c r="M6" s="29">
        <v>52.625999999999998</v>
      </c>
      <c r="N6" s="24">
        <v>30.9</v>
      </c>
      <c r="O6" s="24">
        <v>22.8</v>
      </c>
    </row>
    <row r="7" spans="1:20" x14ac:dyDescent="0.25">
      <c r="A7" s="5"/>
      <c r="B7" s="5">
        <v>4</v>
      </c>
      <c r="C7" s="186" t="s">
        <v>6</v>
      </c>
      <c r="D7" s="13">
        <v>600</v>
      </c>
      <c r="E7" s="13">
        <v>690</v>
      </c>
      <c r="F7" s="14" t="s">
        <v>23</v>
      </c>
      <c r="G7" s="14" t="s">
        <v>24</v>
      </c>
      <c r="H7" s="39">
        <v>44</v>
      </c>
      <c r="I7" s="28">
        <f t="shared" si="0"/>
        <v>1520.5308443374599</v>
      </c>
      <c r="J7" s="39">
        <v>40</v>
      </c>
      <c r="K7" s="18">
        <v>1500</v>
      </c>
      <c r="L7" s="18"/>
      <c r="M7" s="30">
        <v>55.671999999999997</v>
      </c>
      <c r="N7" s="15">
        <v>26.943526368731142</v>
      </c>
      <c r="O7" s="15"/>
    </row>
    <row r="8" spans="1:20" x14ac:dyDescent="0.25">
      <c r="A8" s="5"/>
      <c r="B8" s="5">
        <v>5</v>
      </c>
      <c r="C8" s="187" t="s">
        <v>8</v>
      </c>
      <c r="D8" s="19">
        <v>800</v>
      </c>
      <c r="E8" s="19">
        <v>1000</v>
      </c>
      <c r="F8" s="20" t="s">
        <v>25</v>
      </c>
      <c r="G8" s="20" t="s">
        <v>21</v>
      </c>
      <c r="H8" s="40">
        <v>52</v>
      </c>
      <c r="I8" s="28">
        <f t="shared" si="0"/>
        <v>2123.7166338267002</v>
      </c>
      <c r="J8" s="40">
        <v>50</v>
      </c>
      <c r="K8" s="21">
        <v>1499.9214000000002</v>
      </c>
      <c r="L8" s="21">
        <v>746.75200000000007</v>
      </c>
      <c r="M8" s="32">
        <v>58.34</v>
      </c>
      <c r="N8" s="22">
        <v>25.71</v>
      </c>
      <c r="O8" s="22">
        <v>12.8</v>
      </c>
    </row>
    <row r="9" spans="1:20" x14ac:dyDescent="0.25">
      <c r="B9" s="5">
        <v>6</v>
      </c>
      <c r="C9" s="183" t="s">
        <v>9</v>
      </c>
      <c r="D9" s="9">
        <v>1320</v>
      </c>
      <c r="E9" s="9">
        <v>690</v>
      </c>
      <c r="F9" s="10" t="s">
        <v>26</v>
      </c>
      <c r="G9" s="10" t="s">
        <v>24</v>
      </c>
      <c r="H9" s="37">
        <v>61</v>
      </c>
      <c r="I9" s="28">
        <f t="shared" si="0"/>
        <v>2922.466566001905</v>
      </c>
      <c r="J9" s="37">
        <v>60</v>
      </c>
      <c r="K9" s="16">
        <v>1519.04</v>
      </c>
      <c r="L9" s="16">
        <v>1010</v>
      </c>
      <c r="M9" s="31">
        <v>80.8</v>
      </c>
      <c r="N9" s="17">
        <v>18.8</v>
      </c>
      <c r="O9" s="17">
        <v>12.5</v>
      </c>
    </row>
    <row r="10" spans="1:20" x14ac:dyDescent="0.25">
      <c r="B10" s="5">
        <v>7</v>
      </c>
      <c r="C10" s="183" t="s">
        <v>49</v>
      </c>
      <c r="D10" s="9">
        <v>1650</v>
      </c>
      <c r="E10" s="9">
        <v>690</v>
      </c>
      <c r="F10" s="10" t="s">
        <v>26</v>
      </c>
      <c r="G10" s="10" t="s">
        <v>21</v>
      </c>
      <c r="H10" s="37">
        <v>82</v>
      </c>
      <c r="I10" s="28">
        <f t="shared" si="0"/>
        <v>5281.0172506844419</v>
      </c>
      <c r="J10" s="37">
        <v>78</v>
      </c>
      <c r="K10" s="16">
        <v>1500</v>
      </c>
      <c r="L10" s="16">
        <v>1000</v>
      </c>
      <c r="M10" s="31">
        <f>K10/N10</f>
        <v>104.16666666666666</v>
      </c>
      <c r="N10" s="17">
        <v>14.4</v>
      </c>
      <c r="O10" s="17">
        <v>10.8</v>
      </c>
    </row>
    <row r="11" spans="1:20" x14ac:dyDescent="0.25">
      <c r="B11" s="5">
        <v>8</v>
      </c>
      <c r="C11" s="183" t="s">
        <v>65</v>
      </c>
      <c r="D11" s="9">
        <v>900</v>
      </c>
      <c r="E11" s="9">
        <v>690</v>
      </c>
      <c r="F11" s="10" t="s">
        <v>66</v>
      </c>
      <c r="G11" s="10" t="s">
        <v>21</v>
      </c>
      <c r="H11" s="37">
        <v>44</v>
      </c>
      <c r="I11" s="28">
        <f t="shared" si="0"/>
        <v>1520.5308443374599</v>
      </c>
    </row>
    <row r="12" spans="1:20" x14ac:dyDescent="0.25">
      <c r="B12" s="5">
        <v>9</v>
      </c>
      <c r="C12" s="183" t="s">
        <v>67</v>
      </c>
      <c r="D12" s="9">
        <v>900</v>
      </c>
      <c r="E12" s="9">
        <v>690</v>
      </c>
      <c r="F12" s="10" t="s">
        <v>66</v>
      </c>
      <c r="G12" s="10" t="s">
        <v>21</v>
      </c>
      <c r="H12" s="37">
        <v>44</v>
      </c>
      <c r="I12" s="28">
        <f t="shared" si="0"/>
        <v>1520.5308443374599</v>
      </c>
    </row>
    <row r="13" spans="1:20" x14ac:dyDescent="0.25">
      <c r="B13" s="5">
        <v>10</v>
      </c>
      <c r="C13" s="183" t="s">
        <v>68</v>
      </c>
      <c r="D13" s="9">
        <v>2000</v>
      </c>
      <c r="E13" s="9">
        <v>690</v>
      </c>
      <c r="F13" s="10" t="s">
        <v>66</v>
      </c>
      <c r="G13" s="10" t="s">
        <v>21</v>
      </c>
      <c r="H13" s="37">
        <v>92</v>
      </c>
      <c r="I13" s="28">
        <f t="shared" si="0"/>
        <v>6647.610054996002</v>
      </c>
    </row>
    <row r="14" spans="1:20" x14ac:dyDescent="0.25">
      <c r="B14" s="5">
        <v>11</v>
      </c>
      <c r="C14" s="183" t="s">
        <v>69</v>
      </c>
      <c r="D14" s="9">
        <v>900</v>
      </c>
      <c r="E14" s="9">
        <v>690</v>
      </c>
      <c r="F14" s="10" t="s">
        <v>66</v>
      </c>
      <c r="G14" s="10" t="s">
        <v>21</v>
      </c>
      <c r="H14" s="37">
        <v>92</v>
      </c>
      <c r="I14" s="28">
        <f t="shared" si="0"/>
        <v>6647.610054996002</v>
      </c>
    </row>
    <row r="15" spans="1:20" x14ac:dyDescent="0.25">
      <c r="B15" s="5">
        <v>12</v>
      </c>
      <c r="C15" s="183" t="s">
        <v>93</v>
      </c>
      <c r="D15" s="9">
        <v>300</v>
      </c>
      <c r="E15" s="9">
        <v>400</v>
      </c>
      <c r="F15" s="10" t="s">
        <v>95</v>
      </c>
      <c r="G15" s="10" t="s">
        <v>24</v>
      </c>
      <c r="H15" s="37">
        <v>19</v>
      </c>
      <c r="I15" s="28">
        <f t="shared" si="0"/>
        <v>283.5287369864788</v>
      </c>
      <c r="J15" s="37">
        <v>30.8</v>
      </c>
    </row>
    <row r="16" spans="1:20" x14ac:dyDescent="0.25">
      <c r="B16" s="5">
        <v>13</v>
      </c>
      <c r="C16" s="183" t="s">
        <v>94</v>
      </c>
      <c r="D16" s="9">
        <v>10</v>
      </c>
      <c r="E16" s="9">
        <v>400</v>
      </c>
      <c r="F16" s="10" t="s">
        <v>96</v>
      </c>
      <c r="G16" s="10" t="s">
        <v>24</v>
      </c>
      <c r="H16" s="37">
        <v>3</v>
      </c>
      <c r="I16" s="28">
        <f t="shared" si="0"/>
        <v>7.0685834705770345</v>
      </c>
      <c r="J16" s="37">
        <v>16</v>
      </c>
      <c r="M16" s="33"/>
    </row>
    <row r="17" spans="2:10" x14ac:dyDescent="0.25">
      <c r="B17" s="5">
        <v>14</v>
      </c>
      <c r="C17" s="183" t="s">
        <v>98</v>
      </c>
      <c r="D17" s="9">
        <v>20</v>
      </c>
      <c r="E17" s="9">
        <v>400</v>
      </c>
      <c r="F17" s="10" t="s">
        <v>97</v>
      </c>
      <c r="G17" s="10" t="s">
        <v>24</v>
      </c>
      <c r="H17" s="37">
        <v>3.3</v>
      </c>
      <c r="I17" s="28">
        <f t="shared" si="0"/>
        <v>8.55298599939821</v>
      </c>
      <c r="J17" s="37">
        <f>12-4.3/2</f>
        <v>9.85</v>
      </c>
    </row>
    <row r="18" spans="2:10" x14ac:dyDescent="0.25">
      <c r="B18" s="5">
        <v>15</v>
      </c>
      <c r="C18" s="183" t="s">
        <v>113</v>
      </c>
      <c r="D18" s="9">
        <v>1.75</v>
      </c>
      <c r="E18" s="9"/>
      <c r="F18" s="10"/>
      <c r="G18" s="10"/>
      <c r="H18" s="37">
        <v>1.5</v>
      </c>
      <c r="I18" s="28">
        <f t="shared" si="0"/>
        <v>1.7671458676442586</v>
      </c>
      <c r="J18" s="37"/>
    </row>
    <row r="19" spans="2:10" x14ac:dyDescent="0.25">
      <c r="B19" s="5">
        <v>16</v>
      </c>
      <c r="C19" s="183" t="s">
        <v>114</v>
      </c>
      <c r="D19" s="9">
        <v>10</v>
      </c>
      <c r="E19" s="25"/>
      <c r="F19" s="26"/>
      <c r="G19" s="10" t="s">
        <v>115</v>
      </c>
      <c r="H19" s="37">
        <v>9.6</v>
      </c>
      <c r="I19" s="28">
        <v>61.4</v>
      </c>
    </row>
    <row r="20" spans="2:10" x14ac:dyDescent="0.25">
      <c r="B20" s="5">
        <v>17</v>
      </c>
      <c r="C20" s="183" t="s">
        <v>118</v>
      </c>
      <c r="D20" s="9">
        <v>1</v>
      </c>
      <c r="E20" s="25"/>
      <c r="F20" s="26"/>
      <c r="G20" s="10" t="s">
        <v>115</v>
      </c>
      <c r="H20" s="37">
        <v>2.7</v>
      </c>
      <c r="I20" s="28">
        <v>4.62</v>
      </c>
    </row>
    <row r="21" spans="2:10" x14ac:dyDescent="0.25">
      <c r="B21" s="5">
        <v>18</v>
      </c>
      <c r="C21" s="183" t="s">
        <v>119</v>
      </c>
      <c r="D21" s="27">
        <v>10</v>
      </c>
      <c r="E21" s="25">
        <v>400</v>
      </c>
      <c r="F21" s="10" t="s">
        <v>120</v>
      </c>
      <c r="G21" s="10" t="s">
        <v>24</v>
      </c>
      <c r="H21" s="37">
        <v>7</v>
      </c>
      <c r="I21" s="173">
        <f>PI()*(H21/2)^2</f>
        <v>38.484510006474963</v>
      </c>
      <c r="J21" s="37">
        <v>25</v>
      </c>
    </row>
    <row r="22" spans="2:10" x14ac:dyDescent="0.25">
      <c r="B22" s="5">
        <v>19</v>
      </c>
      <c r="C22" s="183" t="s">
        <v>122</v>
      </c>
      <c r="D22" s="27">
        <v>3</v>
      </c>
      <c r="E22" s="25">
        <v>120</v>
      </c>
      <c r="F22" s="10" t="s">
        <v>120</v>
      </c>
      <c r="G22" s="10" t="s">
        <v>24</v>
      </c>
      <c r="H22" s="37">
        <v>4</v>
      </c>
      <c r="I22" s="173">
        <f>PI()*(H22/2)^2</f>
        <v>12.566370614359172</v>
      </c>
      <c r="J22" s="37">
        <v>20</v>
      </c>
    </row>
    <row r="23" spans="2:10" x14ac:dyDescent="0.25">
      <c r="D23" s="27"/>
      <c r="E23" s="25"/>
      <c r="F23" s="26"/>
    </row>
    <row r="24" spans="2:10" x14ac:dyDescent="0.25">
      <c r="D24" s="27"/>
      <c r="E24" s="25"/>
      <c r="F24" s="26"/>
    </row>
    <row r="25" spans="2:10" x14ac:dyDescent="0.25">
      <c r="D25" s="27"/>
      <c r="E25" s="25"/>
      <c r="F25" s="26"/>
    </row>
    <row r="26" spans="2:10" x14ac:dyDescent="0.25">
      <c r="D26" s="27"/>
      <c r="E26" s="25"/>
      <c r="F26" s="26"/>
    </row>
  </sheetData>
  <mergeCells count="1">
    <mergeCell ref="P2:S2"/>
  </mergeCells>
  <phoneticPr fontId="1" type="noConversion"/>
  <pageMargins left="0.75" right="0.75" top="1" bottom="1" header="0" footer="0"/>
  <pageSetup paperSize="9" scale="70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zoomScale="85" zoomScaleNormal="85" workbookViewId="0">
      <selection activeCell="F11" sqref="F11"/>
    </sheetView>
  </sheetViews>
  <sheetFormatPr baseColWidth="10" defaultRowHeight="13.2" x14ac:dyDescent="0.25"/>
  <cols>
    <col min="1" max="1" width="7.109375" bestFit="1" customWidth="1"/>
    <col min="2" max="2" width="18.109375" customWidth="1"/>
    <col min="3" max="3" width="14" customWidth="1"/>
    <col min="4" max="4" width="18.33203125" customWidth="1"/>
    <col min="5" max="5" width="12.44140625" customWidth="1"/>
    <col min="6" max="6" width="11" customWidth="1"/>
    <col min="7" max="7" width="13.33203125" customWidth="1"/>
    <col min="8" max="11" width="11.44140625" customWidth="1"/>
    <col min="12" max="12" width="11.44140625" style="89" customWidth="1"/>
    <col min="13" max="13" width="11.44140625" style="2" customWidth="1"/>
  </cols>
  <sheetData>
    <row r="1" spans="1:20" s="95" customFormat="1" x14ac:dyDescent="0.25">
      <c r="B1" s="95">
        <v>1</v>
      </c>
      <c r="C1" s="95">
        <v>2</v>
      </c>
      <c r="D1" s="95">
        <v>3</v>
      </c>
      <c r="E1" s="95">
        <v>4</v>
      </c>
      <c r="F1" s="95">
        <v>5</v>
      </c>
      <c r="G1" s="95">
        <v>6</v>
      </c>
      <c r="H1" s="95">
        <v>7</v>
      </c>
      <c r="I1" s="95">
        <v>8</v>
      </c>
      <c r="J1" s="95">
        <v>9</v>
      </c>
      <c r="K1" s="95">
        <v>10</v>
      </c>
      <c r="L1" s="95">
        <v>11</v>
      </c>
      <c r="M1" s="95">
        <v>12</v>
      </c>
      <c r="N1" s="95">
        <v>13</v>
      </c>
      <c r="O1" s="95">
        <v>14</v>
      </c>
      <c r="P1" s="95">
        <v>15</v>
      </c>
      <c r="Q1" s="95">
        <v>16</v>
      </c>
      <c r="R1" s="95">
        <v>17</v>
      </c>
      <c r="S1" s="95">
        <v>18</v>
      </c>
      <c r="T1" s="95">
        <v>19</v>
      </c>
    </row>
    <row r="2" spans="1:20" x14ac:dyDescent="0.25">
      <c r="A2">
        <v>1</v>
      </c>
      <c r="B2" s="89">
        <f ca="1">OFFSET(AEROS!$C$3,CURVAS!B1,1)</f>
        <v>1023.0606686591286</v>
      </c>
      <c r="C2" s="89">
        <f ca="1">OFFSET(AEROS!$C$3,CURVAS!C1,1)</f>
        <v>1300</v>
      </c>
      <c r="D2" s="89">
        <f ca="1">OFFSET(AEROS!$C$3,CURVAS!D1,1)</f>
        <v>660</v>
      </c>
      <c r="E2" s="89">
        <f ca="1">OFFSET(AEROS!$C$3,CURVAS!E1,1)</f>
        <v>600</v>
      </c>
      <c r="F2" s="89">
        <f ca="1">OFFSET(AEROS!$C$3,CURVAS!F1,1)</f>
        <v>800</v>
      </c>
      <c r="G2" s="89">
        <f ca="1">OFFSET(AEROS!$C$3,CURVAS!G1,1)</f>
        <v>1320</v>
      </c>
      <c r="H2" s="89">
        <f ca="1">OFFSET(AEROS!$C$3,CURVAS!H1,1)</f>
        <v>1650</v>
      </c>
      <c r="I2" s="89">
        <f ca="1">OFFSET(AEROS!$C$3,CURVAS!I1,1)</f>
        <v>900</v>
      </c>
      <c r="J2" s="89">
        <f ca="1">OFFSET(AEROS!$C$3,CURVAS!J1,1)</f>
        <v>900</v>
      </c>
      <c r="K2" s="89">
        <f ca="1">OFFSET(AEROS!$C$3,CURVAS!K1,1)</f>
        <v>2000</v>
      </c>
      <c r="L2" s="89">
        <f ca="1">OFFSET(AEROS!$C$3,CURVAS!L1,1)</f>
        <v>900</v>
      </c>
      <c r="M2" s="89">
        <f ca="1">OFFSET(AEROS!$C$3,CURVAS!M1,1)</f>
        <v>300</v>
      </c>
      <c r="N2" s="89">
        <f ca="1">OFFSET(AEROS!$C$3,CURVAS!N1,1)</f>
        <v>10</v>
      </c>
      <c r="O2" s="89">
        <f ca="1">OFFSET(AEROS!$C$3,CURVAS!O1,1)</f>
        <v>20</v>
      </c>
      <c r="P2" s="89">
        <f ca="1">OFFSET(AEROS!$C$3,CURVAS!P1,1)</f>
        <v>1.75</v>
      </c>
      <c r="Q2" s="89">
        <f ca="1">OFFSET(AEROS!$C$3,CURVAS!Q1,1)</f>
        <v>10</v>
      </c>
      <c r="R2" s="89">
        <f ca="1">OFFSET(AEROS!$C$3,CURVAS!R1,1)</f>
        <v>1</v>
      </c>
      <c r="S2" s="89">
        <f ca="1">OFFSET(AEROS!$C$3,CURVAS!S1,1)</f>
        <v>10</v>
      </c>
      <c r="T2" s="89">
        <f ca="1">OFFSET(AEROS!$C$3,CURVAS!T1,1)</f>
        <v>3</v>
      </c>
    </row>
    <row r="3" spans="1:20" s="188" customFormat="1" ht="39.6" x14ac:dyDescent="0.25">
      <c r="B3" s="188" t="str">
        <f ca="1">OFFSET(AEROS!$C$3,CURVAS!B1,0)</f>
        <v>IDEAL</v>
      </c>
      <c r="C3" s="188" t="str">
        <f ca="1">OFFSET(AEROS!$C$3,CURVAS!C1,0)</f>
        <v xml:space="preserve">Izar-Bonus 1.3 Mw </v>
      </c>
      <c r="D3" s="188" t="str">
        <f ca="1">OFFSET(AEROS!$C$3,CURVAS!D1,0)</f>
        <v xml:space="preserve">Gamesa G-47 </v>
      </c>
      <c r="E3" s="188" t="str">
        <f ca="1">OFFSET(AEROS!$C$3,CURVAS!E1,0)</f>
        <v xml:space="preserve">Izar-Bonus MK - IV </v>
      </c>
      <c r="F3" s="188" t="str">
        <f ca="1">OFFSET(AEROS!$C$3,CURVAS!F1,0)</f>
        <v xml:space="preserve">Made AE-52 </v>
      </c>
      <c r="G3" s="188" t="str">
        <f ca="1">OFFSET(AEROS!$C$3,CURVAS!G1,0)</f>
        <v xml:space="preserve">Made AE - 61 </v>
      </c>
      <c r="H3" s="188" t="str">
        <f ca="1">OFFSET(AEROS!$C$3,CURVAS!H1,0)</f>
        <v>Vestas V82</v>
      </c>
      <c r="I3" s="188" t="str">
        <f ca="1">OFFSET(AEROS!$C$3,CURVAS!I1,0)</f>
        <v>Enercon E44</v>
      </c>
      <c r="J3" s="188" t="str">
        <f ca="1">OFFSET(AEROS!$C$3,CURVAS!J1,0)</f>
        <v>Enercon E44 IDEAL</v>
      </c>
      <c r="K3" s="188" t="str">
        <f ca="1">OFFSET(AEROS!$C$3,CURVAS!K1,0)</f>
        <v>Enercon E82</v>
      </c>
      <c r="L3" s="188" t="str">
        <f ca="1">OFFSET(AEROS!$C$3,CURVAS!L1,0)</f>
        <v>Enercon E82 IDEAL</v>
      </c>
      <c r="M3" s="188" t="str">
        <f ca="1">OFFSET(AEROS!$C$3,CURVAS!M1,0)</f>
        <v>300kW FloWind 19-m VAWT</v>
      </c>
      <c r="N3" s="188" t="str">
        <f ca="1">OFFSET(AEROS!$C$3,CURVAS!N1,0)</f>
        <v>Cal-ePower 10 kW VAWT</v>
      </c>
      <c r="O3" s="188" t="str">
        <f ca="1">OFFSET(AEROS!$C$3,CURVAS!O1,0)</f>
        <v>Ropatec Simply Vertical</v>
      </c>
      <c r="P3" s="188" t="str">
        <f ca="1">OFFSET(AEROS!$C$3,CURVAS!P1,0)</f>
        <v>donQi Urban Windmill 1.5</v>
      </c>
      <c r="Q3" s="188" t="str">
        <f ca="1">OFFSET(AEROS!$C$3,CURVAS!Q1,0)</f>
        <v>UGE-9M</v>
      </c>
      <c r="R3" s="188" t="str">
        <f ca="1">OFFSET(AEROS!$C$3,CURVAS!R1,0)</f>
        <v>eddyGT</v>
      </c>
      <c r="S3" s="188" t="str">
        <f ca="1">OFFSET(AEROS!$C$3,CURVAS!S1,0)</f>
        <v>Bergey</v>
      </c>
      <c r="T3" s="188" t="str">
        <f ca="1">OFFSET(AEROS!$C$3,CURVAS!T1,0)</f>
        <v>BORNAY 3000</v>
      </c>
    </row>
    <row r="4" spans="1:20" x14ac:dyDescent="0.25">
      <c r="A4" s="43">
        <v>1</v>
      </c>
      <c r="B4" s="2">
        <f>IF(OR(A4&lt;AEROS!$Q$4,CURVAS!A4&gt;AEROS!$R$4),0,IF(A4&lt;AEROS!$P$4,CURVAS!T4,CURVAS!$T$2))</f>
        <v>0</v>
      </c>
      <c r="C4" s="43">
        <v>0</v>
      </c>
      <c r="D4" s="43">
        <v>0</v>
      </c>
      <c r="E4" s="43">
        <v>0</v>
      </c>
      <c r="F4" s="43">
        <v>0</v>
      </c>
      <c r="G4" s="43">
        <v>0</v>
      </c>
      <c r="H4" s="43">
        <v>0</v>
      </c>
      <c r="I4" s="44">
        <v>0</v>
      </c>
      <c r="J4" s="44">
        <v>0</v>
      </c>
      <c r="K4" s="44">
        <v>0</v>
      </c>
      <c r="L4" s="44">
        <v>0</v>
      </c>
      <c r="M4" s="89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</row>
    <row r="5" spans="1:20" x14ac:dyDescent="0.25">
      <c r="A5" s="43">
        <v>2</v>
      </c>
      <c r="B5" s="2">
        <f>IF(OR(A5&lt;AEROS!$Q$4,CURVAS!A5&gt;AEROS!$R$4),0,IF(A5&lt;AEROS!$P$4,CURVAS!T5,CURVAS!$T$2))</f>
        <v>0</v>
      </c>
      <c r="C5" s="43">
        <v>0</v>
      </c>
      <c r="D5" s="43">
        <v>0</v>
      </c>
      <c r="E5" s="43">
        <v>0</v>
      </c>
      <c r="F5" s="43">
        <v>0</v>
      </c>
      <c r="G5" s="43">
        <v>0</v>
      </c>
      <c r="H5" s="43">
        <v>0</v>
      </c>
      <c r="I5" s="44">
        <v>1.4</v>
      </c>
      <c r="J5" s="44">
        <v>0</v>
      </c>
      <c r="K5" s="44">
        <v>3</v>
      </c>
      <c r="L5" s="44">
        <v>0</v>
      </c>
      <c r="M5" s="89">
        <v>0</v>
      </c>
      <c r="N5" s="2">
        <v>6.2549575070823191E-2</v>
      </c>
      <c r="O5" s="2">
        <v>0.29039539794655334</v>
      </c>
      <c r="P5" s="2">
        <v>0</v>
      </c>
      <c r="Q5" s="2">
        <v>0</v>
      </c>
      <c r="R5" s="2">
        <v>0</v>
      </c>
      <c r="S5" s="2">
        <v>0</v>
      </c>
      <c r="T5" s="2">
        <v>0.66137566137614201</v>
      </c>
    </row>
    <row r="6" spans="1:20" x14ac:dyDescent="0.25">
      <c r="A6" s="43">
        <v>3</v>
      </c>
      <c r="B6" s="2">
        <f>IF(OR(A6&lt;AEROS!$Q$4,CURVAS!A6&gt;AEROS!$R$4),0,IF(A6&lt;AEROS!$P$4,CURVAS!T6,CURVAS!$T$2))</f>
        <v>166.20163690476201</v>
      </c>
      <c r="C6" s="43">
        <v>2.9889799766391203</v>
      </c>
      <c r="D6" s="43">
        <v>0</v>
      </c>
      <c r="E6" s="43">
        <v>-3</v>
      </c>
      <c r="F6" s="43">
        <v>0</v>
      </c>
      <c r="G6" s="43">
        <v>0</v>
      </c>
      <c r="H6" s="43">
        <v>6.8026999999999997</v>
      </c>
      <c r="I6" s="44">
        <v>8</v>
      </c>
      <c r="J6" s="44">
        <v>12.576768750000001</v>
      </c>
      <c r="K6" s="44">
        <v>25</v>
      </c>
      <c r="L6" s="44">
        <v>43.749956250000004</v>
      </c>
      <c r="M6" s="89">
        <v>0</v>
      </c>
      <c r="N6" s="2">
        <v>0.1482152974504248</v>
      </c>
      <c r="O6" s="2">
        <v>0.53834421328777959</v>
      </c>
      <c r="P6" s="2">
        <v>1.9E-2</v>
      </c>
      <c r="Q6" s="2">
        <v>0</v>
      </c>
      <c r="R6" s="2">
        <v>0</v>
      </c>
      <c r="S6" s="2">
        <v>0.10199999999999999</v>
      </c>
      <c r="T6" s="2">
        <v>166.20163690476201</v>
      </c>
    </row>
    <row r="7" spans="1:20" x14ac:dyDescent="0.25">
      <c r="A7" s="43">
        <v>4</v>
      </c>
      <c r="B7" s="2">
        <f>IF(OR(A7&lt;AEROS!$Q$4,CURVAS!A7&gt;AEROS!$R$4),0,IF(A7&lt;AEROS!$P$4,CURVAS!T7,CURVAS!$T$2))</f>
        <v>492.48120300751901</v>
      </c>
      <c r="C7" s="43">
        <v>38.867460932280373</v>
      </c>
      <c r="D7" s="43">
        <v>1.4958733369104735</v>
      </c>
      <c r="E7" s="43">
        <v>19.399999999999999</v>
      </c>
      <c r="F7" s="43">
        <v>25.337848914908491</v>
      </c>
      <c r="G7" s="43">
        <v>28</v>
      </c>
      <c r="H7" s="43">
        <v>51.661000000000001</v>
      </c>
      <c r="I7" s="44">
        <v>24.5</v>
      </c>
      <c r="J7" s="44">
        <v>29.811600000000002</v>
      </c>
      <c r="K7" s="44">
        <v>82</v>
      </c>
      <c r="L7" s="44">
        <v>103.70360000000001</v>
      </c>
      <c r="M7" s="89">
        <v>0</v>
      </c>
      <c r="N7" s="2">
        <v>0.22459704991696752</v>
      </c>
      <c r="O7" s="2">
        <v>0.9571106094808135</v>
      </c>
      <c r="P7" s="2">
        <v>4.3999999999999997E-2</v>
      </c>
      <c r="Q7" s="2">
        <v>0.53568013695166994</v>
      </c>
      <c r="R7" s="2">
        <v>3.1834728277931636E-2</v>
      </c>
      <c r="S7" s="2">
        <v>0.39900000000000002</v>
      </c>
      <c r="T7" s="2">
        <v>492.48120300751901</v>
      </c>
    </row>
    <row r="8" spans="1:20" x14ac:dyDescent="0.25">
      <c r="A8" s="43">
        <v>5</v>
      </c>
      <c r="B8" s="2">
        <f>IF(OR(A8&lt;AEROS!$Q$4,CURVAS!A8&gt;AEROS!$R$4),0,IF(A8&lt;AEROS!$P$4,CURVAS!T8,CURVAS!$T$2))</f>
        <v>837.79761904761995</v>
      </c>
      <c r="C8" s="43">
        <v>97.376030152751042</v>
      </c>
      <c r="D8" s="43">
        <v>55.492061819333358</v>
      </c>
      <c r="E8" s="43">
        <v>44.2</v>
      </c>
      <c r="F8" s="43">
        <v>64.570230800000004</v>
      </c>
      <c r="G8" s="43">
        <v>79</v>
      </c>
      <c r="H8" s="43">
        <v>136.54</v>
      </c>
      <c r="I8" s="44">
        <v>53</v>
      </c>
      <c r="J8" s="44">
        <v>58.225781249999997</v>
      </c>
      <c r="K8" s="44">
        <v>174</v>
      </c>
      <c r="L8" s="44">
        <v>202.54609375000001</v>
      </c>
      <c r="M8" s="89">
        <v>0</v>
      </c>
      <c r="N8" s="2">
        <v>0.31668406142836031</v>
      </c>
      <c r="O8" s="2">
        <v>1.4768336075295589</v>
      </c>
      <c r="P8" s="107">
        <v>8.6999999999999994E-2</v>
      </c>
      <c r="Q8" s="2">
        <v>0.90267602304833006</v>
      </c>
      <c r="R8" s="2">
        <v>6.6938374802817169E-2</v>
      </c>
      <c r="S8" s="2">
        <v>0.84799999999999998</v>
      </c>
      <c r="T8" s="2">
        <v>837.79761904761995</v>
      </c>
    </row>
    <row r="9" spans="1:20" x14ac:dyDescent="0.25">
      <c r="A9" s="43">
        <v>6</v>
      </c>
      <c r="B9" s="2">
        <f>IF(OR(A9&lt;AEROS!$Q$4,CURVAS!A9&gt;AEROS!$R$4),0,IF(A9&lt;AEROS!$P$4,CURVAS!T9,CURVAS!$T$2))</f>
        <v>1192.68267651888</v>
      </c>
      <c r="C9" s="43">
        <v>173.81626664885536</v>
      </c>
      <c r="D9" s="43">
        <v>107.75872747986662</v>
      </c>
      <c r="E9" s="43">
        <v>77</v>
      </c>
      <c r="F9" s="43">
        <v>120.29949460538518</v>
      </c>
      <c r="G9" s="43">
        <v>150</v>
      </c>
      <c r="H9" s="43">
        <v>266.06</v>
      </c>
      <c r="I9" s="44">
        <v>96</v>
      </c>
      <c r="J9" s="44">
        <v>100.61415000000001</v>
      </c>
      <c r="K9" s="44">
        <v>321</v>
      </c>
      <c r="L9" s="44">
        <v>349.99965000000003</v>
      </c>
      <c r="M9" s="89">
        <v>0</v>
      </c>
      <c r="N9" s="2">
        <v>0.54212017295363069</v>
      </c>
      <c r="O9" s="2">
        <v>2.0779021180538946</v>
      </c>
      <c r="P9" s="2">
        <v>0.15</v>
      </c>
      <c r="Q9" s="2">
        <v>1.4282492950872019</v>
      </c>
      <c r="R9" s="2">
        <v>0.12507080911421756</v>
      </c>
      <c r="S9" s="2">
        <v>1.51</v>
      </c>
      <c r="T9" s="2">
        <v>1192.68267651888</v>
      </c>
    </row>
    <row r="10" spans="1:20" x14ac:dyDescent="0.25">
      <c r="A10" s="43">
        <v>7</v>
      </c>
      <c r="B10" s="2">
        <f>IF(OR(A10&lt;AEROS!$Q$4,CURVAS!A10&gt;AEROS!$R$4),0,IF(A10&lt;AEROS!$P$4,CURVAS!T10,CURVAS!$T$2))</f>
        <v>1550.1700680272099</v>
      </c>
      <c r="C10" s="43">
        <v>295.5165311542857</v>
      </c>
      <c r="D10" s="43">
        <v>165.57854475658263</v>
      </c>
      <c r="E10" s="43">
        <v>129.69999999999999</v>
      </c>
      <c r="F10" s="43">
        <v>188.54112779320761</v>
      </c>
      <c r="G10" s="43">
        <v>229</v>
      </c>
      <c r="H10" s="43">
        <v>445.01</v>
      </c>
      <c r="I10" s="44">
        <v>156</v>
      </c>
      <c r="J10" s="44">
        <v>159.77154375000001</v>
      </c>
      <c r="K10" s="44">
        <v>532</v>
      </c>
      <c r="L10" s="44">
        <v>555.78648125000007</v>
      </c>
      <c r="M10" s="89">
        <v>5.5702917999999997</v>
      </c>
      <c r="N10" s="2">
        <v>0.91997167138810165</v>
      </c>
      <c r="O10" s="2">
        <v>3.1644973824504112</v>
      </c>
      <c r="P10" s="2">
        <v>0.23799999999999999</v>
      </c>
      <c r="Q10" s="2">
        <v>2.0985092489472419</v>
      </c>
      <c r="R10" s="2">
        <v>0.19773232883736189</v>
      </c>
      <c r="S10" s="2">
        <v>2.403</v>
      </c>
      <c r="T10" s="2">
        <v>1550.1700680272099</v>
      </c>
    </row>
    <row r="11" spans="1:20" x14ac:dyDescent="0.25">
      <c r="A11" s="43">
        <v>8</v>
      </c>
      <c r="B11" s="2">
        <f>IF(OR(A11&lt;AEROS!$Q$4,CURVAS!A11&gt;AEROS!$R$4),0,IF(A11&lt;AEROS!$P$4,CURVAS!T11,CURVAS!$T$2))</f>
        <v>1943.1444991789799</v>
      </c>
      <c r="C11" s="43">
        <v>444.37620096598204</v>
      </c>
      <c r="D11" s="43">
        <v>249.68581849440415</v>
      </c>
      <c r="E11" s="43">
        <v>197.9</v>
      </c>
      <c r="F11" s="43">
        <v>271.80132390593491</v>
      </c>
      <c r="G11" s="43">
        <v>372</v>
      </c>
      <c r="H11" s="43">
        <v>710.51</v>
      </c>
      <c r="I11" s="44">
        <v>238</v>
      </c>
      <c r="J11" s="44">
        <v>238.49280000000002</v>
      </c>
      <c r="K11" s="44">
        <v>815</v>
      </c>
      <c r="L11" s="44">
        <v>829.62880000000007</v>
      </c>
      <c r="M11" s="89">
        <v>19.893899000000001</v>
      </c>
      <c r="N11" s="2">
        <v>1.3661473087818696</v>
      </c>
      <c r="O11" s="2">
        <v>4.5424552873762876</v>
      </c>
      <c r="P11" s="2">
        <v>0.35499999999999998</v>
      </c>
      <c r="Q11" s="2">
        <v>2.9965752999999999</v>
      </c>
      <c r="R11" s="2">
        <v>0.29490645916878683</v>
      </c>
      <c r="S11" s="2">
        <v>3.6019999999999999</v>
      </c>
      <c r="T11" s="2">
        <v>1943.1444991789799</v>
      </c>
    </row>
    <row r="12" spans="1:20" x14ac:dyDescent="0.25">
      <c r="A12" s="43">
        <v>9</v>
      </c>
      <c r="B12" s="2">
        <f>IF(OR(A12&lt;AEROS!$Q$4,CURVAS!A12&gt;AEROS!$R$4),0,IF(A12&lt;AEROS!$P$4,CURVAS!T12,CURVAS!$T$2))</f>
        <v>2230.9253246753201</v>
      </c>
      <c r="C12" s="43">
        <v>614.20892627548562</v>
      </c>
      <c r="D12" s="43">
        <v>348.23374219408004</v>
      </c>
      <c r="E12" s="43">
        <v>275.2</v>
      </c>
      <c r="F12" s="43">
        <v>378.86029973508818</v>
      </c>
      <c r="G12" s="43">
        <v>540</v>
      </c>
      <c r="H12" s="43">
        <v>1017</v>
      </c>
      <c r="I12" s="44">
        <v>340</v>
      </c>
      <c r="J12" s="44">
        <v>339.57275625000005</v>
      </c>
      <c r="K12" s="44">
        <v>1180</v>
      </c>
      <c r="L12" s="44">
        <v>1181.2488187500001</v>
      </c>
      <c r="M12" s="89">
        <v>39.787798000000002</v>
      </c>
      <c r="N12" s="2">
        <v>1.9943342776203927</v>
      </c>
      <c r="O12" s="2">
        <v>6.233592508987555</v>
      </c>
      <c r="P12" s="2">
        <v>0.505</v>
      </c>
      <c r="Q12" s="2">
        <v>4.170743697523867</v>
      </c>
      <c r="R12" s="2">
        <v>0.42508607927381581</v>
      </c>
      <c r="S12" s="2">
        <v>5.0709999999999997</v>
      </c>
      <c r="T12" s="2">
        <v>2230.9253246753201</v>
      </c>
    </row>
    <row r="13" spans="1:20" x14ac:dyDescent="0.25">
      <c r="A13" s="43">
        <v>10</v>
      </c>
      <c r="B13" s="2">
        <f>IF(OR(A13&lt;AEROS!$Q$4,CURVAS!A13&gt;AEROS!$R$4),0,IF(A13&lt;AEROS!$P$4,CURVAS!T13,CURVAS!$T$2))</f>
        <v>2498.1398809523798</v>
      </c>
      <c r="C13" s="43">
        <v>787.07682749449282</v>
      </c>
      <c r="D13" s="43">
        <v>461.51109871681433</v>
      </c>
      <c r="E13" s="43">
        <v>354.3</v>
      </c>
      <c r="F13" s="43">
        <v>513.20754445880584</v>
      </c>
      <c r="G13" s="43">
        <v>733</v>
      </c>
      <c r="H13" s="43">
        <v>1301.9000000000001</v>
      </c>
      <c r="I13" s="44">
        <v>466</v>
      </c>
      <c r="J13" s="44">
        <v>465.80624999999998</v>
      </c>
      <c r="K13" s="44">
        <v>1612</v>
      </c>
      <c r="L13" s="44">
        <v>1620.3687500000001</v>
      </c>
      <c r="M13" s="89">
        <v>60.477454000000002</v>
      </c>
      <c r="N13" s="2">
        <v>2.7678544803936358</v>
      </c>
      <c r="O13" s="2">
        <v>8.2324531471468347</v>
      </c>
      <c r="P13" s="2">
        <v>0.69299999999999995</v>
      </c>
      <c r="Q13" s="2">
        <v>5.6320582513026389</v>
      </c>
      <c r="R13" s="2">
        <v>0.5962884770928617</v>
      </c>
      <c r="S13" s="2">
        <v>6.8559999999999999</v>
      </c>
      <c r="T13" s="2">
        <v>2498.1398809523798</v>
      </c>
    </row>
    <row r="14" spans="1:20" x14ac:dyDescent="0.25">
      <c r="A14" s="43">
        <v>11</v>
      </c>
      <c r="B14" s="2">
        <f>IF(OR(A14&lt;AEROS!$Q$4,CURVAS!A14&gt;AEROS!$R$4),0,IF(A14&lt;AEROS!$P$4,CURVAS!T14,CURVAS!$T$2))</f>
        <v>2859.375</v>
      </c>
      <c r="C14" s="43">
        <v>935.8016057193596</v>
      </c>
      <c r="D14" s="43">
        <v>556.0228614436578</v>
      </c>
      <c r="E14" s="43">
        <v>435.6</v>
      </c>
      <c r="F14" s="43">
        <v>693.45310506241503</v>
      </c>
      <c r="G14" s="43">
        <v>911</v>
      </c>
      <c r="H14" s="43">
        <v>1517.8</v>
      </c>
      <c r="I14" s="44">
        <v>600</v>
      </c>
      <c r="J14" s="44">
        <v>619.98811875000001</v>
      </c>
      <c r="K14" s="44">
        <v>1890</v>
      </c>
      <c r="L14" s="44">
        <v>2050</v>
      </c>
      <c r="M14" s="89">
        <v>85.941644999999994</v>
      </c>
      <c r="N14" s="2">
        <v>3.9157223796033747</v>
      </c>
      <c r="O14" s="2">
        <v>10.768452014501621</v>
      </c>
      <c r="P14" s="2">
        <v>0.92200000000000004</v>
      </c>
      <c r="Q14" s="2">
        <v>7.5958898002124551</v>
      </c>
      <c r="R14" s="2">
        <v>0.79039189576497626</v>
      </c>
      <c r="S14" s="2">
        <v>8.8629999999999995</v>
      </c>
      <c r="T14" s="2">
        <v>2859.375</v>
      </c>
    </row>
    <row r="15" spans="1:20" x14ac:dyDescent="0.25">
      <c r="A15" s="43">
        <v>12</v>
      </c>
      <c r="B15" s="2">
        <f>IF(OR(A15&lt;AEROS!$Q$4,CURVAS!A15&gt;AEROS!$R$4),0,IF(A15&lt;AEROS!$P$4,CURVAS!T15,CURVAS!$T$2))</f>
        <v>3086.4661654135398</v>
      </c>
      <c r="C15" s="43">
        <v>1082.6975215729499</v>
      </c>
      <c r="D15" s="43">
        <v>623.40573207634588</v>
      </c>
      <c r="E15" s="43">
        <v>513.6</v>
      </c>
      <c r="F15" s="43">
        <v>796.69526353898323</v>
      </c>
      <c r="G15" s="43">
        <v>1050</v>
      </c>
      <c r="H15" s="43">
        <v>1612.3</v>
      </c>
      <c r="I15" s="44">
        <v>710</v>
      </c>
      <c r="J15" s="44">
        <v>804.91320000000007</v>
      </c>
      <c r="K15" s="44">
        <v>2000</v>
      </c>
      <c r="L15" s="44">
        <v>2050</v>
      </c>
      <c r="M15" s="89">
        <v>112.99735</v>
      </c>
      <c r="N15" s="2">
        <v>5.2882659907558942</v>
      </c>
      <c r="O15" s="2">
        <v>14.056884875846512</v>
      </c>
      <c r="P15" s="2">
        <v>1.1970000000000001</v>
      </c>
      <c r="Q15" s="2">
        <v>9.8273973273188062</v>
      </c>
      <c r="R15" s="2">
        <v>0.99893575729456274</v>
      </c>
      <c r="S15" s="2">
        <v>10.885</v>
      </c>
      <c r="T15" s="2">
        <v>3086.4661654135398</v>
      </c>
    </row>
    <row r="16" spans="1:20" x14ac:dyDescent="0.25">
      <c r="A16" s="43">
        <v>13</v>
      </c>
      <c r="B16" s="2">
        <f ca="1">IF(OR(A16&lt;AEROS!$Q$4,CURVAS!A16&gt;AEROS!$R$4),0,IF(A16&lt;AEROS!$P$4,CURVAS!T16,CURVAS!$T$2))</f>
        <v>3</v>
      </c>
      <c r="C16" s="43">
        <v>1173.5008784270501</v>
      </c>
      <c r="D16" s="43">
        <v>668.00410180044366</v>
      </c>
      <c r="E16" s="43">
        <v>575.70000000000005</v>
      </c>
      <c r="F16" s="43">
        <v>796.85271557444605</v>
      </c>
      <c r="G16" s="43">
        <v>1175</v>
      </c>
      <c r="H16" s="43">
        <v>1641.9</v>
      </c>
      <c r="I16" s="44">
        <v>790</v>
      </c>
      <c r="J16" s="44">
        <v>910</v>
      </c>
      <c r="K16" s="44">
        <v>2050</v>
      </c>
      <c r="L16" s="44">
        <v>2050</v>
      </c>
      <c r="M16" s="89">
        <v>145.62334000000001</v>
      </c>
      <c r="N16" s="2">
        <v>6.6823915312359956</v>
      </c>
      <c r="O16" s="2">
        <v>17.692357304095406</v>
      </c>
      <c r="P16" s="2">
        <v>1.522</v>
      </c>
      <c r="Q16" s="2">
        <v>10</v>
      </c>
      <c r="R16" s="2">
        <v>0.99802601229023147</v>
      </c>
      <c r="S16" s="2">
        <v>12.019</v>
      </c>
      <c r="T16" s="2">
        <v>3313.5162601625998</v>
      </c>
    </row>
    <row r="17" spans="1:20" x14ac:dyDescent="0.25">
      <c r="A17" s="43">
        <v>14</v>
      </c>
      <c r="B17" s="2">
        <f ca="1">IF(OR(A17&lt;AEROS!$Q$4,CURVAS!A17&gt;AEROS!$R$4),0,IF(A17&lt;AEROS!$P$4,CURVAS!T17,CURVAS!$T$2))</f>
        <v>3</v>
      </c>
      <c r="C17" s="43">
        <v>1253.0856196118277</v>
      </c>
      <c r="D17" s="43">
        <v>686.75924035100502</v>
      </c>
      <c r="E17" s="43">
        <v>610.1</v>
      </c>
      <c r="F17" s="43">
        <v>797.01016760990888</v>
      </c>
      <c r="G17" s="43">
        <v>1252</v>
      </c>
      <c r="H17" s="43">
        <v>1646.7</v>
      </c>
      <c r="I17" s="44">
        <v>850</v>
      </c>
      <c r="J17" s="44">
        <v>910</v>
      </c>
      <c r="K17" s="44">
        <v>2050</v>
      </c>
      <c r="L17" s="44">
        <v>2050</v>
      </c>
      <c r="M17" s="89">
        <v>172.67904999999999</v>
      </c>
      <c r="N17" s="2">
        <v>8.1026390338452217</v>
      </c>
      <c r="O17" s="2">
        <v>19.597846848411226</v>
      </c>
      <c r="P17" s="107">
        <v>1.901</v>
      </c>
      <c r="Q17" s="2">
        <v>10</v>
      </c>
      <c r="R17" s="2">
        <v>0.99626813142278359</v>
      </c>
      <c r="S17" s="2">
        <v>12.395</v>
      </c>
      <c r="T17" s="2">
        <v>3424.78813559322</v>
      </c>
    </row>
    <row r="18" spans="1:20" x14ac:dyDescent="0.25">
      <c r="A18" s="43">
        <v>15</v>
      </c>
      <c r="B18" s="2">
        <f ca="1">IF(OR(A18&lt;AEROS!$Q$4,CURVAS!A18&gt;AEROS!$R$4),0,IF(A18&lt;AEROS!$P$4,CURVAS!T18,CURVAS!$T$2))</f>
        <v>3</v>
      </c>
      <c r="C18" s="43">
        <v>1282.5833924463477</v>
      </c>
      <c r="D18" s="43">
        <v>695.00171027052681</v>
      </c>
      <c r="E18" s="43">
        <v>620.1</v>
      </c>
      <c r="F18" s="43">
        <v>797.1676196453717</v>
      </c>
      <c r="G18" s="43">
        <v>1307</v>
      </c>
      <c r="H18" s="43">
        <v>1647.4</v>
      </c>
      <c r="I18" s="44">
        <v>880</v>
      </c>
      <c r="J18" s="44">
        <v>910</v>
      </c>
      <c r="K18" s="44">
        <v>2050</v>
      </c>
      <c r="L18" s="44">
        <v>2050</v>
      </c>
      <c r="M18" s="89">
        <v>202.12201999999999</v>
      </c>
      <c r="N18" s="2">
        <v>9.5609065155807276</v>
      </c>
      <c r="O18" s="2">
        <v>19.967096453303746</v>
      </c>
      <c r="P18" s="2">
        <v>2.2999999999999998</v>
      </c>
      <c r="Q18" s="2">
        <v>10</v>
      </c>
      <c r="R18" s="2">
        <v>0.99626921496652876</v>
      </c>
      <c r="S18" s="2">
        <v>12.494999999999999</v>
      </c>
      <c r="T18" s="2">
        <v>3222.20540758676</v>
      </c>
    </row>
    <row r="19" spans="1:20" x14ac:dyDescent="0.25">
      <c r="A19" s="43">
        <v>16</v>
      </c>
      <c r="B19" s="2">
        <f ca="1">IF(OR(A19&lt;AEROS!$Q$4,CURVAS!A19&gt;AEROS!$R$4),0,IF(A19&lt;AEROS!$P$4,CURVAS!T19,CURVAS!$T$2))</f>
        <v>3</v>
      </c>
      <c r="C19" s="43">
        <v>1302.0578965707964</v>
      </c>
      <c r="D19" s="43">
        <v>698.54476653922745</v>
      </c>
      <c r="E19" s="43">
        <v>606.4</v>
      </c>
      <c r="F19" s="43">
        <v>797.32507168083453</v>
      </c>
      <c r="G19" s="43">
        <v>1320</v>
      </c>
      <c r="H19" s="43">
        <v>1648.1</v>
      </c>
      <c r="I19" s="44">
        <v>905</v>
      </c>
      <c r="J19" s="44">
        <v>910</v>
      </c>
      <c r="K19" s="44">
        <v>2050</v>
      </c>
      <c r="L19" s="44">
        <v>2050</v>
      </c>
      <c r="M19" s="89">
        <v>225.99468999999999</v>
      </c>
      <c r="N19" s="2">
        <v>10.833351198223681</v>
      </c>
      <c r="O19" s="2">
        <v>19.998010483223016</v>
      </c>
      <c r="P19" s="107">
        <v>2.2999999999999998</v>
      </c>
      <c r="Q19" s="2">
        <v>10</v>
      </c>
      <c r="R19" s="2">
        <v>0.99664254730209345</v>
      </c>
      <c r="S19" s="2">
        <v>12.545999999999999</v>
      </c>
      <c r="T19" s="2">
        <v>3029.56989247312</v>
      </c>
    </row>
    <row r="20" spans="1:20" x14ac:dyDescent="0.25">
      <c r="A20" s="43">
        <v>17</v>
      </c>
      <c r="B20" s="2">
        <f ca="1">IF(OR(A20&lt;AEROS!$Q$4,CURVAS!A20&gt;AEROS!$R$4),0,IF(A20&lt;AEROS!$P$4,CURVAS!T20,CURVAS!$T$2))</f>
        <v>3</v>
      </c>
      <c r="C20" s="43">
        <v>1301.80717292486</v>
      </c>
      <c r="D20" s="43">
        <v>700.34793184358432</v>
      </c>
      <c r="E20" s="43">
        <v>589.4</v>
      </c>
      <c r="F20" s="43">
        <v>797.48252371629735</v>
      </c>
      <c r="G20" s="43">
        <v>1313</v>
      </c>
      <c r="H20" s="43">
        <v>1648.8</v>
      </c>
      <c r="I20" s="44">
        <v>910</v>
      </c>
      <c r="J20" s="44">
        <v>910</v>
      </c>
      <c r="K20" s="44">
        <v>2050</v>
      </c>
      <c r="L20" s="44">
        <v>2050</v>
      </c>
      <c r="M20" s="89">
        <v>249.07162</v>
      </c>
      <c r="N20" s="2">
        <v>11.898384503483635</v>
      </c>
      <c r="O20" s="2">
        <v>19.974143238251592</v>
      </c>
      <c r="P20" s="2">
        <v>2.2999999999999998</v>
      </c>
      <c r="Q20" s="2">
        <v>10</v>
      </c>
      <c r="R20" s="2">
        <v>0.99701587963765825</v>
      </c>
      <c r="S20" s="2">
        <v>12.503</v>
      </c>
      <c r="T20" s="2">
        <v>3094.9500768049202</v>
      </c>
    </row>
    <row r="21" spans="1:20" x14ac:dyDescent="0.25">
      <c r="A21" s="43">
        <v>18</v>
      </c>
      <c r="B21" s="2">
        <f ca="1">IF(OR(A21&lt;AEROS!$Q$4,CURVAS!A21&gt;AEROS!$R$4),0,IF(A21&lt;AEROS!$P$4,CURVAS!T21,CURVAS!$T$2))</f>
        <v>3</v>
      </c>
      <c r="C21" s="43">
        <v>1299.1712480202279</v>
      </c>
      <c r="D21" s="43">
        <v>700.44443999999999</v>
      </c>
      <c r="E21" s="43">
        <v>583</v>
      </c>
      <c r="F21" s="43">
        <v>797.63997575176018</v>
      </c>
      <c r="G21" s="43">
        <v>1282</v>
      </c>
      <c r="H21" s="43">
        <v>1649.5</v>
      </c>
      <c r="I21" s="44">
        <v>910</v>
      </c>
      <c r="J21" s="44">
        <v>910</v>
      </c>
      <c r="K21" s="44">
        <v>2050</v>
      </c>
      <c r="L21" s="44">
        <v>2050</v>
      </c>
      <c r="M21" s="89">
        <v>268.96552000000003</v>
      </c>
      <c r="N21" s="2">
        <v>12.292854894554619</v>
      </c>
      <c r="O21" s="2">
        <v>19.958903200106228</v>
      </c>
      <c r="P21" s="2">
        <v>2.2999999999999998</v>
      </c>
      <c r="Q21" s="2">
        <v>10</v>
      </c>
      <c r="R21" s="2">
        <v>0.99738921197322294</v>
      </c>
      <c r="S21" s="2">
        <v>12.442</v>
      </c>
      <c r="T21" s="2">
        <v>3166.0401002506301</v>
      </c>
    </row>
    <row r="22" spans="1:20" x14ac:dyDescent="0.25">
      <c r="A22" s="43">
        <v>19</v>
      </c>
      <c r="B22" s="2">
        <f ca="1">IF(OR(A22&lt;AEROS!$Q$4,CURVAS!A22&gt;AEROS!$R$4),0,IF(A22&lt;AEROS!$P$4,CURVAS!T22,CURVAS!$T$2))</f>
        <v>3</v>
      </c>
      <c r="C22" s="43">
        <v>1298.7602999999999</v>
      </c>
      <c r="D22" s="43">
        <v>700.44443999999999</v>
      </c>
      <c r="E22" s="43">
        <v>571.79999999999995</v>
      </c>
      <c r="F22" s="43">
        <v>797.797427787223</v>
      </c>
      <c r="G22" s="43">
        <v>1228</v>
      </c>
      <c r="H22" s="43">
        <v>1650.2</v>
      </c>
      <c r="I22" s="44">
        <v>910</v>
      </c>
      <c r="J22" s="44">
        <v>910</v>
      </c>
      <c r="K22" s="44">
        <v>2050</v>
      </c>
      <c r="L22" s="44">
        <v>2050</v>
      </c>
      <c r="M22" s="89">
        <v>282.49337000000003</v>
      </c>
      <c r="N22" s="2">
        <v>12.197428633689258</v>
      </c>
      <c r="O22" s="2">
        <v>19.97231443367415</v>
      </c>
      <c r="P22" s="2">
        <v>2</v>
      </c>
      <c r="Q22" s="2">
        <v>10</v>
      </c>
      <c r="R22" s="2">
        <v>0.99776254430878775</v>
      </c>
      <c r="S22" s="2">
        <v>12.208</v>
      </c>
      <c r="T22" s="2">
        <v>3193.33386009271</v>
      </c>
    </row>
    <row r="23" spans="1:20" x14ac:dyDescent="0.25">
      <c r="A23" s="43">
        <v>20</v>
      </c>
      <c r="B23" s="2">
        <f ca="1">IF(OR(A23&lt;AEROS!$Q$4,CURVAS!A23&gt;AEROS!$R$4),0,IF(A23&lt;AEROS!$P$4,CURVAS!T23,CURVAS!$T$2))</f>
        <v>3</v>
      </c>
      <c r="C23" s="43">
        <v>1298.7602999999999</v>
      </c>
      <c r="D23" s="43">
        <v>700.44443999999999</v>
      </c>
      <c r="E23" s="43">
        <v>571.79999999999995</v>
      </c>
      <c r="F23" s="43">
        <v>797.95487982268583</v>
      </c>
      <c r="G23" s="43">
        <v>1175</v>
      </c>
      <c r="H23" s="43">
        <v>1650.2</v>
      </c>
      <c r="I23" s="44">
        <v>910</v>
      </c>
      <c r="J23" s="44">
        <v>910</v>
      </c>
      <c r="K23" s="44">
        <v>2050</v>
      </c>
      <c r="L23" s="44">
        <v>2050</v>
      </c>
      <c r="M23" s="89">
        <v>291.24668000000003</v>
      </c>
      <c r="N23" s="2">
        <v>12.064211520302152</v>
      </c>
      <c r="O23" s="2">
        <v>19.985725667242065</v>
      </c>
      <c r="P23" s="2">
        <v>2</v>
      </c>
      <c r="Q23" s="2">
        <v>10</v>
      </c>
      <c r="R23" s="2">
        <v>0.99813587664435255</v>
      </c>
      <c r="S23" s="2">
        <v>11.989000000000001</v>
      </c>
      <c r="T23" s="2">
        <v>3220.2380952381</v>
      </c>
    </row>
    <row r="24" spans="1:20" x14ac:dyDescent="0.25">
      <c r="A24" s="43">
        <v>21</v>
      </c>
      <c r="B24" s="2">
        <f ca="1">IF(OR(A24&lt;AEROS!$Q$4,CURVAS!A24&gt;AEROS!$R$4),0,IF(A24&lt;AEROS!$P$4,CURVAS!T24,CURVAS!$T$2))</f>
        <v>3</v>
      </c>
      <c r="C24" s="43">
        <v>1298.7602999999999</v>
      </c>
      <c r="D24" s="43">
        <v>700.44443999999999</v>
      </c>
      <c r="E24" s="43">
        <v>571.79999999999995</v>
      </c>
      <c r="F24" s="43">
        <v>798.11233185814865</v>
      </c>
      <c r="G24" s="43">
        <v>1114</v>
      </c>
      <c r="H24" s="43">
        <v>1650.2</v>
      </c>
      <c r="I24" s="44">
        <v>910</v>
      </c>
      <c r="J24" s="44">
        <v>910</v>
      </c>
      <c r="K24" s="44">
        <v>2050</v>
      </c>
      <c r="L24" s="44">
        <v>2050</v>
      </c>
      <c r="M24" s="89">
        <v>294.42971</v>
      </c>
      <c r="N24" s="2">
        <v>11.940752731687613</v>
      </c>
      <c r="O24" s="2">
        <v>19.999136900809987</v>
      </c>
      <c r="P24" s="2">
        <v>0.8</v>
      </c>
      <c r="Q24" s="2">
        <v>10</v>
      </c>
      <c r="R24" s="2">
        <v>0.99850920897991724</v>
      </c>
      <c r="S24" s="2">
        <v>11.000999999999999</v>
      </c>
      <c r="T24" s="2">
        <v>0</v>
      </c>
    </row>
    <row r="25" spans="1:20" x14ac:dyDescent="0.25">
      <c r="A25" s="43">
        <v>22</v>
      </c>
      <c r="B25" s="2">
        <f ca="1">IF(OR(A25&lt;AEROS!$Q$4,CURVAS!A25&gt;AEROS!$R$4),0,IF(A25&lt;AEROS!$P$4,CURVAS!T25,CURVAS!$T$2))</f>
        <v>3</v>
      </c>
      <c r="C25" s="43">
        <v>1298.7602999999999</v>
      </c>
      <c r="D25" s="43">
        <v>700.44443999999999</v>
      </c>
      <c r="E25" s="43">
        <v>571.79999999999995</v>
      </c>
      <c r="F25" s="43">
        <v>798.26978389361147</v>
      </c>
      <c r="G25" s="43">
        <v>1079</v>
      </c>
      <c r="H25" s="43">
        <v>1650.2</v>
      </c>
      <c r="I25" s="44">
        <v>910</v>
      </c>
      <c r="J25" s="44">
        <v>910</v>
      </c>
      <c r="K25" s="44">
        <v>2050</v>
      </c>
      <c r="L25" s="44">
        <v>2050</v>
      </c>
      <c r="M25" s="89">
        <v>300</v>
      </c>
      <c r="N25" s="2">
        <v>11.811485964460514</v>
      </c>
      <c r="O25" s="2">
        <v>20</v>
      </c>
      <c r="P25" s="2">
        <v>0.8</v>
      </c>
      <c r="Q25" s="2">
        <v>10</v>
      </c>
      <c r="R25" s="2">
        <v>0.99888254131548204</v>
      </c>
      <c r="S25" s="2">
        <v>10.013</v>
      </c>
      <c r="T25" s="2">
        <v>0</v>
      </c>
    </row>
    <row r="26" spans="1:20" x14ac:dyDescent="0.25">
      <c r="A26" s="43">
        <v>23</v>
      </c>
      <c r="B26" s="2">
        <f ca="1">IF(OR(A26&lt;AEROS!$Q$4,CURVAS!A26&gt;AEROS!$R$4),0,IF(A26&lt;AEROS!$P$4,CURVAS!T26,CURVAS!$T$2))</f>
        <v>3</v>
      </c>
      <c r="C26" s="43">
        <v>1298.7602999999999</v>
      </c>
      <c r="D26" s="43">
        <v>700.44443999999999</v>
      </c>
      <c r="E26" s="43">
        <v>571.79999999999995</v>
      </c>
      <c r="F26" s="43">
        <v>798.4272359290743</v>
      </c>
      <c r="G26" s="43">
        <v>1063</v>
      </c>
      <c r="H26" s="43">
        <v>1650.2</v>
      </c>
      <c r="I26" s="44">
        <v>910</v>
      </c>
      <c r="J26" s="44">
        <v>910</v>
      </c>
      <c r="K26" s="44">
        <v>2050</v>
      </c>
      <c r="L26" s="44">
        <v>2050</v>
      </c>
      <c r="M26" s="89">
        <v>300</v>
      </c>
      <c r="N26" s="2">
        <v>11.653257790368301</v>
      </c>
      <c r="O26" s="2">
        <v>20</v>
      </c>
      <c r="P26" s="2">
        <v>0</v>
      </c>
      <c r="Q26" s="2">
        <v>10</v>
      </c>
      <c r="R26" s="2">
        <v>0.99925587365104673</v>
      </c>
      <c r="S26" s="2">
        <v>9.0250000000000004</v>
      </c>
      <c r="T26" s="2">
        <v>0</v>
      </c>
    </row>
    <row r="27" spans="1:20" x14ac:dyDescent="0.25">
      <c r="A27" s="43">
        <v>24</v>
      </c>
      <c r="B27" s="2">
        <f ca="1">IF(OR(A27&lt;AEROS!$Q$4,CURVAS!A27&gt;AEROS!$R$4),0,IF(A27&lt;AEROS!$P$4,CURVAS!T27,CURVAS!$T$2))</f>
        <v>3</v>
      </c>
      <c r="C27" s="43">
        <v>1298.7602999999999</v>
      </c>
      <c r="D27" s="43">
        <v>700.44443999999999</v>
      </c>
      <c r="E27" s="43">
        <v>571.79999999999995</v>
      </c>
      <c r="F27" s="43">
        <v>798.58468796453712</v>
      </c>
      <c r="G27" s="43">
        <v>1058</v>
      </c>
      <c r="H27" s="43">
        <v>1650.2</v>
      </c>
      <c r="I27" s="44">
        <v>910</v>
      </c>
      <c r="J27" s="44">
        <v>910</v>
      </c>
      <c r="K27" s="44">
        <v>2050</v>
      </c>
      <c r="L27" s="44">
        <v>2050</v>
      </c>
      <c r="M27" s="89">
        <v>300</v>
      </c>
      <c r="N27" s="2">
        <v>11.484764133513988</v>
      </c>
      <c r="O27" s="2">
        <v>20</v>
      </c>
      <c r="P27" s="2">
        <v>0</v>
      </c>
      <c r="Q27" s="2">
        <v>10</v>
      </c>
      <c r="R27" s="2">
        <v>0.99962920598661154</v>
      </c>
      <c r="S27" s="2">
        <v>8.0370000000000008</v>
      </c>
      <c r="T27" s="2">
        <v>0</v>
      </c>
    </row>
    <row r="28" spans="1:20" x14ac:dyDescent="0.25">
      <c r="A28" s="43">
        <v>25</v>
      </c>
      <c r="B28" s="2">
        <f ca="1">IF(OR(A28&lt;AEROS!$Q$4,CURVAS!A28&gt;AEROS!$R$4),0,IF(A28&lt;AEROS!$P$4,CURVAS!T28,CURVAS!$T$2))</f>
        <v>3</v>
      </c>
      <c r="C28" s="43">
        <v>1298.7602999999999</v>
      </c>
      <c r="D28" s="43">
        <v>700.44443999999999</v>
      </c>
      <c r="E28" s="43">
        <v>571.79999999999995</v>
      </c>
      <c r="F28" s="43">
        <v>798.74213999999995</v>
      </c>
      <c r="G28" s="43">
        <v>1073</v>
      </c>
      <c r="H28" s="43">
        <v>1650.2</v>
      </c>
      <c r="I28" s="44">
        <v>910</v>
      </c>
      <c r="J28" s="44">
        <v>910</v>
      </c>
      <c r="K28" s="44">
        <v>2050</v>
      </c>
      <c r="L28" s="44">
        <v>2050</v>
      </c>
      <c r="M28" s="89">
        <v>0</v>
      </c>
      <c r="N28" s="2">
        <v>11.411218130311649</v>
      </c>
      <c r="O28" s="2">
        <v>20</v>
      </c>
      <c r="P28" s="2">
        <v>0</v>
      </c>
      <c r="Q28" s="2">
        <v>10</v>
      </c>
      <c r="R28" s="2">
        <v>1.0000025383221762</v>
      </c>
      <c r="S28" s="2">
        <v>7.0490000000000004</v>
      </c>
      <c r="T28" s="2">
        <v>0</v>
      </c>
    </row>
    <row r="29" spans="1:20" x14ac:dyDescent="0.25">
      <c r="N29" s="90"/>
      <c r="O29" s="90"/>
    </row>
    <row r="30" spans="1:20" x14ac:dyDescent="0.25">
      <c r="N30" s="90"/>
      <c r="O30" s="90"/>
    </row>
    <row r="31" spans="1:20" x14ac:dyDescent="0.25">
      <c r="N31" s="90"/>
      <c r="O31" s="90"/>
    </row>
    <row r="32" spans="1:20" x14ac:dyDescent="0.25">
      <c r="A32" t="s">
        <v>57</v>
      </c>
      <c r="B32">
        <v>1.2250000000000001</v>
      </c>
      <c r="N32" s="90"/>
      <c r="O32" s="90"/>
    </row>
    <row r="33" spans="1:15" x14ac:dyDescent="0.25">
      <c r="A33" t="s">
        <v>59</v>
      </c>
      <c r="B33">
        <v>82</v>
      </c>
      <c r="N33" s="90"/>
      <c r="O33" s="90"/>
    </row>
    <row r="34" spans="1:15" x14ac:dyDescent="0.25">
      <c r="A34" t="s">
        <v>58</v>
      </c>
      <c r="B34">
        <f>PI()*(B33/2)^2</f>
        <v>5281.0172506844419</v>
      </c>
      <c r="N34" s="90"/>
      <c r="O34" s="90"/>
    </row>
    <row r="35" spans="1:15" x14ac:dyDescent="0.25">
      <c r="A35" t="s">
        <v>60</v>
      </c>
      <c r="B35">
        <v>13</v>
      </c>
      <c r="N35" s="90"/>
      <c r="O35" s="90"/>
    </row>
    <row r="36" spans="1:15" x14ac:dyDescent="0.25">
      <c r="A36" t="s">
        <v>61</v>
      </c>
      <c r="B36">
        <v>3</v>
      </c>
      <c r="N36" s="90"/>
      <c r="O36" s="90"/>
    </row>
    <row r="37" spans="1:15" x14ac:dyDescent="0.25">
      <c r="A37" t="s">
        <v>62</v>
      </c>
      <c r="B37">
        <v>0.42</v>
      </c>
    </row>
  </sheetData>
  <phoneticPr fontId="1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8" sqref="I8"/>
    </sheetView>
  </sheetViews>
  <sheetFormatPr baseColWidth="10" defaultRowHeight="13.2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R58"/>
  <sheetViews>
    <sheetView workbookViewId="0">
      <selection activeCell="A33" sqref="A33"/>
    </sheetView>
  </sheetViews>
  <sheetFormatPr baseColWidth="10" defaultRowHeight="13.2" x14ac:dyDescent="0.25"/>
  <cols>
    <col min="1" max="1" width="11.6640625" customWidth="1"/>
    <col min="2" max="2" width="8" customWidth="1"/>
    <col min="3" max="3" width="9.44140625" customWidth="1"/>
    <col min="4" max="4" width="11.109375" customWidth="1"/>
    <col min="5" max="5" width="11.44140625" style="42" customWidth="1"/>
    <col min="8" max="8" width="13" style="42" customWidth="1"/>
    <col min="9" max="9" width="13" customWidth="1"/>
    <col min="10" max="10" width="13.6640625" customWidth="1"/>
    <col min="17" max="18" width="11.44140625" style="76" customWidth="1"/>
  </cols>
  <sheetData>
    <row r="1" spans="1:16" ht="13.8" thickTop="1" x14ac:dyDescent="0.25">
      <c r="A1" s="48"/>
      <c r="B1" s="49" t="s">
        <v>70</v>
      </c>
      <c r="C1" s="50" t="s">
        <v>63</v>
      </c>
      <c r="D1" s="52"/>
      <c r="E1" s="53" t="s">
        <v>77</v>
      </c>
      <c r="F1" s="57" t="s">
        <v>78</v>
      </c>
      <c r="G1" s="176" t="s">
        <v>79</v>
      </c>
      <c r="H1" s="178" t="s">
        <v>80</v>
      </c>
      <c r="I1" s="178" t="s">
        <v>81</v>
      </c>
      <c r="J1" s="181" t="s">
        <v>82</v>
      </c>
      <c r="K1" s="76"/>
      <c r="L1" s="76"/>
      <c r="M1" s="76"/>
      <c r="N1" s="76"/>
      <c r="O1" s="76"/>
      <c r="P1" s="76"/>
    </row>
    <row r="2" spans="1:16" ht="12.75" customHeight="1" x14ac:dyDescent="0.25">
      <c r="A2" s="46"/>
      <c r="B2" s="45" t="s">
        <v>71</v>
      </c>
      <c r="C2" s="51">
        <v>2000</v>
      </c>
      <c r="D2" s="52"/>
      <c r="E2" s="53" t="s">
        <v>54</v>
      </c>
      <c r="F2" s="57">
        <v>6.9</v>
      </c>
      <c r="G2" s="177"/>
      <c r="H2" s="179"/>
      <c r="I2" s="180"/>
      <c r="J2" s="182"/>
      <c r="K2" s="76"/>
      <c r="L2" s="76"/>
      <c r="M2" s="76"/>
      <c r="N2" s="76"/>
      <c r="O2" s="76"/>
      <c r="P2" s="76"/>
    </row>
    <row r="3" spans="1:16" x14ac:dyDescent="0.25">
      <c r="A3" s="46"/>
      <c r="B3" s="45" t="s">
        <v>40</v>
      </c>
      <c r="C3" s="51">
        <v>92</v>
      </c>
      <c r="D3" s="52"/>
      <c r="E3" s="53" t="s">
        <v>1</v>
      </c>
      <c r="F3" s="57">
        <v>2</v>
      </c>
      <c r="G3" s="177"/>
      <c r="H3" s="179"/>
      <c r="I3" s="180"/>
      <c r="J3" s="182"/>
      <c r="K3" s="76"/>
      <c r="L3" s="76"/>
      <c r="M3" s="76"/>
      <c r="N3" s="76"/>
      <c r="O3" s="76"/>
      <c r="P3" s="76"/>
    </row>
    <row r="4" spans="1:16" ht="13.8" thickBot="1" x14ac:dyDescent="0.3">
      <c r="A4" s="46"/>
      <c r="B4" s="45" t="s">
        <v>73</v>
      </c>
      <c r="C4" s="51">
        <v>5291</v>
      </c>
      <c r="D4" s="52"/>
      <c r="E4" s="53" t="s">
        <v>51</v>
      </c>
      <c r="F4" s="57">
        <v>6.1149657856240305</v>
      </c>
      <c r="G4" s="65">
        <f>SUM(G8:G32)</f>
        <v>559.00394843887341</v>
      </c>
      <c r="H4" s="58">
        <f>SUM(H8:H32)</f>
        <v>4896.874588324531</v>
      </c>
      <c r="I4" s="66">
        <f>G4/C2</f>
        <v>0.27950197421943668</v>
      </c>
      <c r="J4" s="59">
        <f>H4/C2*1000</f>
        <v>2448.4372941622655</v>
      </c>
      <c r="K4" s="76"/>
      <c r="L4" s="76"/>
      <c r="M4" s="76"/>
      <c r="N4" s="76"/>
      <c r="O4" s="76"/>
      <c r="P4" s="76"/>
    </row>
    <row r="5" spans="1:16" ht="13.8" thickTop="1" x14ac:dyDescent="0.25">
      <c r="A5" s="46"/>
      <c r="B5" s="45" t="s">
        <v>72</v>
      </c>
      <c r="C5" s="51" t="s">
        <v>64</v>
      </c>
      <c r="D5" s="52"/>
      <c r="E5" s="53" t="s">
        <v>52</v>
      </c>
      <c r="F5" s="54">
        <v>1.2250000000000001</v>
      </c>
      <c r="G5" s="76"/>
      <c r="H5" s="79"/>
      <c r="I5" s="76"/>
      <c r="J5" s="76"/>
      <c r="K5" s="76"/>
      <c r="L5" s="76"/>
      <c r="M5" s="76"/>
      <c r="N5" s="76"/>
      <c r="O5" s="76"/>
      <c r="P5" s="76"/>
    </row>
    <row r="6" spans="1:16" x14ac:dyDescent="0.25">
      <c r="A6" s="47"/>
      <c r="B6" s="45" t="s">
        <v>74</v>
      </c>
      <c r="C6" s="64">
        <f>MAX(C8:C32)</f>
        <v>2050</v>
      </c>
      <c r="D6" s="56"/>
      <c r="E6" s="53"/>
      <c r="F6" s="55"/>
      <c r="G6" s="76"/>
      <c r="H6" s="79"/>
      <c r="I6" s="76"/>
      <c r="J6" s="76"/>
      <c r="K6" s="76"/>
      <c r="L6" s="76"/>
      <c r="M6" s="76"/>
      <c r="N6" s="76"/>
      <c r="O6" s="76"/>
      <c r="P6" s="76"/>
    </row>
    <row r="7" spans="1:16" ht="42.75" customHeight="1" x14ac:dyDescent="0.25">
      <c r="A7" s="76"/>
      <c r="B7" s="87" t="s">
        <v>75</v>
      </c>
      <c r="C7" s="86" t="s">
        <v>12</v>
      </c>
      <c r="D7" s="77"/>
      <c r="E7" s="84" t="s">
        <v>76</v>
      </c>
      <c r="F7" s="85" t="s">
        <v>32</v>
      </c>
      <c r="G7" s="62" t="s">
        <v>83</v>
      </c>
      <c r="H7" s="63" t="s">
        <v>84</v>
      </c>
      <c r="I7" s="76"/>
      <c r="J7" s="76"/>
      <c r="K7" s="76"/>
      <c r="L7" s="76"/>
      <c r="M7" s="76"/>
      <c r="N7" s="76"/>
      <c r="O7" s="76"/>
      <c r="P7" s="76"/>
    </row>
    <row r="8" spans="1:16" x14ac:dyDescent="0.25">
      <c r="A8" s="76"/>
      <c r="B8" s="60">
        <v>1</v>
      </c>
      <c r="C8" s="64">
        <v>0</v>
      </c>
      <c r="D8" s="78"/>
      <c r="E8" s="67">
        <v>4.6159659213689974E-2</v>
      </c>
      <c r="F8" s="68">
        <f>E8*8760</f>
        <v>404.35861471192419</v>
      </c>
      <c r="G8" s="69">
        <f t="shared" ref="G8:G32" si="0">C8*E8</f>
        <v>0</v>
      </c>
      <c r="H8" s="70">
        <f>C8*F8/1000</f>
        <v>0</v>
      </c>
      <c r="I8" s="76"/>
      <c r="J8" s="76"/>
      <c r="K8" s="76"/>
      <c r="L8" s="76"/>
      <c r="M8" s="76"/>
      <c r="N8" s="76"/>
      <c r="O8" s="76"/>
      <c r="P8" s="76"/>
    </row>
    <row r="9" spans="1:16" x14ac:dyDescent="0.25">
      <c r="A9" s="76"/>
      <c r="B9" s="60">
        <v>2</v>
      </c>
      <c r="C9" s="64">
        <v>3</v>
      </c>
      <c r="D9" s="78"/>
      <c r="E9" s="67">
        <v>7.686371746144427E-2</v>
      </c>
      <c r="F9" s="68">
        <f t="shared" ref="F9:F32" si="1">E9*8760</f>
        <v>673.32616496225182</v>
      </c>
      <c r="G9" s="69">
        <f t="shared" si="0"/>
        <v>0.23059115238433281</v>
      </c>
      <c r="H9" s="70">
        <f t="shared" ref="H9:H32" si="2">C9*F9/1000</f>
        <v>2.0199784948867556</v>
      </c>
      <c r="I9" s="76"/>
      <c r="J9" s="76"/>
      <c r="K9" s="76"/>
      <c r="L9" s="76"/>
      <c r="M9" s="76"/>
      <c r="N9" s="76"/>
      <c r="O9" s="76"/>
      <c r="P9" s="76"/>
    </row>
    <row r="10" spans="1:16" x14ac:dyDescent="0.25">
      <c r="A10" s="76"/>
      <c r="B10" s="60">
        <v>3</v>
      </c>
      <c r="C10" s="64">
        <v>25</v>
      </c>
      <c r="D10" s="78"/>
      <c r="E10" s="67">
        <v>0.10383952456081824</v>
      </c>
      <c r="F10" s="68">
        <f t="shared" si="1"/>
        <v>909.63423515276781</v>
      </c>
      <c r="G10" s="69">
        <f t="shared" si="0"/>
        <v>2.5959881140204559</v>
      </c>
      <c r="H10" s="70">
        <f t="shared" si="2"/>
        <v>22.740855878819193</v>
      </c>
      <c r="I10" s="76"/>
      <c r="J10" s="76"/>
      <c r="K10" s="76"/>
      <c r="L10" s="76"/>
      <c r="M10" s="76"/>
      <c r="N10" s="76"/>
      <c r="O10" s="76"/>
      <c r="P10" s="76"/>
    </row>
    <row r="11" spans="1:16" x14ac:dyDescent="0.25">
      <c r="A11" s="76"/>
      <c r="B11" s="60">
        <v>4</v>
      </c>
      <c r="C11" s="64">
        <v>82</v>
      </c>
      <c r="D11" s="78"/>
      <c r="E11" s="67">
        <v>0.11958355331356241</v>
      </c>
      <c r="F11" s="68">
        <f t="shared" si="1"/>
        <v>1047.5519270268067</v>
      </c>
      <c r="G11" s="69">
        <f t="shared" si="0"/>
        <v>9.8058513717121176</v>
      </c>
      <c r="H11" s="70">
        <f t="shared" si="2"/>
        <v>85.899258016198146</v>
      </c>
      <c r="I11" s="76"/>
      <c r="J11" s="76"/>
      <c r="K11" s="76"/>
      <c r="L11" s="76"/>
      <c r="M11" s="76"/>
      <c r="N11" s="76"/>
      <c r="O11" s="76"/>
      <c r="P11" s="76"/>
    </row>
    <row r="12" spans="1:16" x14ac:dyDescent="0.25">
      <c r="A12" s="76"/>
      <c r="B12" s="60">
        <v>5</v>
      </c>
      <c r="C12" s="64">
        <v>174</v>
      </c>
      <c r="D12" s="78"/>
      <c r="E12" s="67">
        <v>0.12381447863768291</v>
      </c>
      <c r="F12" s="68">
        <f t="shared" si="1"/>
        <v>1084.6148328661022</v>
      </c>
      <c r="G12" s="69">
        <f t="shared" si="0"/>
        <v>21.543719282956825</v>
      </c>
      <c r="H12" s="70">
        <f t="shared" si="2"/>
        <v>188.72298091870181</v>
      </c>
      <c r="I12" s="76"/>
      <c r="J12" s="76"/>
      <c r="K12" s="76"/>
      <c r="L12" s="76"/>
      <c r="M12" s="76"/>
      <c r="N12" s="76"/>
      <c r="O12" s="76"/>
      <c r="P12" s="76"/>
    </row>
    <row r="13" spans="1:16" x14ac:dyDescent="0.25">
      <c r="A13" s="76"/>
      <c r="B13" s="60">
        <v>6</v>
      </c>
      <c r="C13" s="64">
        <v>321</v>
      </c>
      <c r="D13" s="78"/>
      <c r="E13" s="67">
        <v>0.11802188182011702</v>
      </c>
      <c r="F13" s="68">
        <f t="shared" si="1"/>
        <v>1033.8716847442251</v>
      </c>
      <c r="G13" s="69">
        <f t="shared" si="0"/>
        <v>37.885024064257564</v>
      </c>
      <c r="H13" s="70">
        <f t="shared" si="2"/>
        <v>331.87281080289625</v>
      </c>
      <c r="I13" s="76"/>
      <c r="J13" s="76"/>
      <c r="K13" s="76"/>
      <c r="L13" s="76"/>
      <c r="M13" s="76"/>
      <c r="N13" s="76"/>
      <c r="O13" s="76"/>
      <c r="P13" s="76"/>
    </row>
    <row r="14" spans="1:16" x14ac:dyDescent="0.25">
      <c r="A14" s="76"/>
      <c r="B14" s="60">
        <v>7</v>
      </c>
      <c r="C14" s="64">
        <v>532</v>
      </c>
      <c r="D14" s="78"/>
      <c r="E14" s="67">
        <v>0.10489118893054694</v>
      </c>
      <c r="F14" s="68">
        <f t="shared" si="1"/>
        <v>918.84681503159118</v>
      </c>
      <c r="G14" s="69">
        <f t="shared" si="0"/>
        <v>55.802112511050971</v>
      </c>
      <c r="H14" s="70">
        <f t="shared" si="2"/>
        <v>488.82650559680656</v>
      </c>
      <c r="I14" s="76"/>
      <c r="J14" s="76"/>
      <c r="K14" s="76"/>
      <c r="L14" s="76"/>
      <c r="M14" s="76"/>
      <c r="N14" s="76"/>
      <c r="O14" s="76"/>
      <c r="P14" s="76"/>
    </row>
    <row r="15" spans="1:16" x14ac:dyDescent="0.25">
      <c r="A15" s="76"/>
      <c r="B15" s="60">
        <v>8</v>
      </c>
      <c r="C15" s="64">
        <v>815</v>
      </c>
      <c r="D15" s="78"/>
      <c r="E15" s="67">
        <v>8.7575049898405366E-2</v>
      </c>
      <c r="F15" s="68">
        <f t="shared" si="1"/>
        <v>767.15743711003097</v>
      </c>
      <c r="G15" s="69">
        <f t="shared" si="0"/>
        <v>71.37366566720037</v>
      </c>
      <c r="H15" s="70">
        <f t="shared" si="2"/>
        <v>625.23331124467518</v>
      </c>
      <c r="I15" s="76"/>
      <c r="J15" s="76"/>
      <c r="K15" s="76"/>
      <c r="L15" s="76"/>
      <c r="M15" s="76"/>
      <c r="N15" s="76"/>
      <c r="O15" s="76"/>
      <c r="P15" s="76"/>
    </row>
    <row r="16" spans="1:16" x14ac:dyDescent="0.25">
      <c r="A16" s="76"/>
      <c r="B16" s="60">
        <v>9</v>
      </c>
      <c r="C16" s="64">
        <v>1180</v>
      </c>
      <c r="D16" s="78"/>
      <c r="E16" s="67">
        <v>6.9024302268008819E-2</v>
      </c>
      <c r="F16" s="68">
        <f t="shared" si="1"/>
        <v>604.65288786775727</v>
      </c>
      <c r="G16" s="69">
        <f t="shared" si="0"/>
        <v>81.4486766762504</v>
      </c>
      <c r="H16" s="70">
        <f t="shared" si="2"/>
        <v>713.49040768395355</v>
      </c>
      <c r="I16" s="76"/>
      <c r="J16" s="76"/>
      <c r="K16" s="76"/>
      <c r="L16" s="76"/>
      <c r="M16" s="76"/>
      <c r="N16" s="76"/>
      <c r="O16" s="76"/>
      <c r="P16" s="76"/>
    </row>
    <row r="17" spans="1:16" x14ac:dyDescent="0.25">
      <c r="A17" s="76"/>
      <c r="B17" s="60">
        <v>10</v>
      </c>
      <c r="C17" s="64">
        <v>1612</v>
      </c>
      <c r="D17" s="78"/>
      <c r="E17" s="67">
        <v>5.1528583188922727E-2</v>
      </c>
      <c r="F17" s="68">
        <f t="shared" si="1"/>
        <v>451.3903887349631</v>
      </c>
      <c r="G17" s="69">
        <f t="shared" si="0"/>
        <v>83.064076100543431</v>
      </c>
      <c r="H17" s="70">
        <f t="shared" si="2"/>
        <v>727.64130664076049</v>
      </c>
      <c r="I17" s="76"/>
      <c r="J17" s="76"/>
      <c r="K17" s="76"/>
      <c r="L17" s="76"/>
      <c r="M17" s="76"/>
      <c r="N17" s="76"/>
      <c r="O17" s="76"/>
      <c r="P17" s="76"/>
    </row>
    <row r="18" spans="1:16" x14ac:dyDescent="0.25">
      <c r="A18" s="76"/>
      <c r="B18" s="60">
        <v>11</v>
      </c>
      <c r="C18" s="64">
        <v>1890</v>
      </c>
      <c r="D18" s="78"/>
      <c r="E18" s="67">
        <v>3.6521536684684941E-2</v>
      </c>
      <c r="F18" s="68">
        <f t="shared" si="1"/>
        <v>319.9286613578401</v>
      </c>
      <c r="G18" s="69">
        <f t="shared" si="0"/>
        <v>69.025704334054538</v>
      </c>
      <c r="H18" s="70">
        <f t="shared" si="2"/>
        <v>604.66516996631788</v>
      </c>
      <c r="I18" s="76"/>
      <c r="J18" s="76"/>
      <c r="K18" s="76"/>
      <c r="L18" s="76"/>
      <c r="M18" s="76"/>
      <c r="N18" s="76"/>
      <c r="O18" s="76"/>
      <c r="P18" s="76"/>
    </row>
    <row r="19" spans="1:16" x14ac:dyDescent="0.25">
      <c r="A19" s="76"/>
      <c r="B19" s="60">
        <v>12</v>
      </c>
      <c r="C19" s="64">
        <v>2000</v>
      </c>
      <c r="D19" s="78"/>
      <c r="E19" s="67">
        <v>2.4618699859979665E-2</v>
      </c>
      <c r="F19" s="68">
        <f t="shared" si="1"/>
        <v>215.65981077342187</v>
      </c>
      <c r="G19" s="69">
        <f t="shared" si="0"/>
        <v>49.237399719959328</v>
      </c>
      <c r="H19" s="70">
        <f t="shared" si="2"/>
        <v>431.31962154684373</v>
      </c>
      <c r="I19" s="76"/>
      <c r="J19" s="76"/>
      <c r="K19" s="76"/>
      <c r="L19" s="76"/>
      <c r="M19" s="76"/>
      <c r="N19" s="76"/>
      <c r="O19" s="76"/>
      <c r="P19" s="76"/>
    </row>
    <row r="20" spans="1:16" x14ac:dyDescent="0.25">
      <c r="A20" s="76"/>
      <c r="B20" s="60">
        <v>13</v>
      </c>
      <c r="C20" s="64">
        <v>2050</v>
      </c>
      <c r="D20" s="78"/>
      <c r="E20" s="67">
        <v>1.5804252393667451E-2</v>
      </c>
      <c r="F20" s="68">
        <f t="shared" si="1"/>
        <v>138.44525096852686</v>
      </c>
      <c r="G20" s="69">
        <f t="shared" si="0"/>
        <v>32.398717407018275</v>
      </c>
      <c r="H20" s="70">
        <f t="shared" si="2"/>
        <v>283.8127644854801</v>
      </c>
      <c r="I20" s="76"/>
      <c r="J20" s="76"/>
      <c r="K20" s="76"/>
      <c r="L20" s="76"/>
      <c r="M20" s="76"/>
      <c r="N20" s="76"/>
      <c r="O20" s="76"/>
      <c r="P20" s="76"/>
    </row>
    <row r="21" spans="1:16" x14ac:dyDescent="0.25">
      <c r="A21" s="76"/>
      <c r="B21" s="60">
        <v>14</v>
      </c>
      <c r="C21" s="64">
        <v>2050</v>
      </c>
      <c r="D21" s="78"/>
      <c r="E21" s="67">
        <v>9.6721821315258749E-3</v>
      </c>
      <c r="F21" s="68">
        <f t="shared" si="1"/>
        <v>84.72831547216667</v>
      </c>
      <c r="G21" s="69">
        <f t="shared" si="0"/>
        <v>19.827973369628044</v>
      </c>
      <c r="H21" s="70">
        <f t="shared" si="2"/>
        <v>173.69304671794168</v>
      </c>
      <c r="I21" s="76"/>
      <c r="J21" s="76"/>
      <c r="K21" s="76"/>
      <c r="L21" s="76"/>
      <c r="M21" s="76"/>
      <c r="N21" s="76"/>
      <c r="O21" s="76"/>
      <c r="P21" s="76"/>
    </row>
    <row r="22" spans="1:16" x14ac:dyDescent="0.25">
      <c r="A22" s="76"/>
      <c r="B22" s="60">
        <v>15</v>
      </c>
      <c r="C22" s="64">
        <v>2050</v>
      </c>
      <c r="D22" s="78"/>
      <c r="E22" s="67">
        <v>5.6477108753448801E-3</v>
      </c>
      <c r="F22" s="68">
        <f t="shared" si="1"/>
        <v>49.473947268021149</v>
      </c>
      <c r="G22" s="69">
        <f t="shared" si="0"/>
        <v>11.577807294457005</v>
      </c>
      <c r="H22" s="70">
        <f t="shared" si="2"/>
        <v>101.42159189944336</v>
      </c>
      <c r="I22" s="76"/>
      <c r="J22" s="76"/>
      <c r="K22" s="76"/>
      <c r="L22" s="76"/>
      <c r="M22" s="76"/>
      <c r="N22" s="76"/>
      <c r="O22" s="76"/>
      <c r="P22" s="76"/>
    </row>
    <row r="23" spans="1:16" x14ac:dyDescent="0.25">
      <c r="A23" s="76"/>
      <c r="B23" s="60">
        <v>16</v>
      </c>
      <c r="C23" s="64">
        <v>2050</v>
      </c>
      <c r="D23" s="78"/>
      <c r="E23" s="67">
        <v>3.1485074670043467E-3</v>
      </c>
      <c r="F23" s="68">
        <f t="shared" si="1"/>
        <v>27.580925410958077</v>
      </c>
      <c r="G23" s="69">
        <f t="shared" si="0"/>
        <v>6.4544403073589107</v>
      </c>
      <c r="H23" s="70">
        <f t="shared" si="2"/>
        <v>56.540897092464057</v>
      </c>
      <c r="I23" s="76"/>
      <c r="J23" s="76"/>
      <c r="K23" s="76"/>
      <c r="L23" s="76"/>
      <c r="M23" s="76"/>
      <c r="N23" s="76"/>
      <c r="O23" s="76"/>
      <c r="P23" s="76"/>
    </row>
    <row r="24" spans="1:16" x14ac:dyDescent="0.25">
      <c r="A24" s="76"/>
      <c r="B24" s="60">
        <v>17</v>
      </c>
      <c r="C24" s="64">
        <v>2050</v>
      </c>
      <c r="D24" s="78"/>
      <c r="E24" s="67">
        <v>1.6767017889349756E-3</v>
      </c>
      <c r="F24" s="68">
        <f t="shared" si="1"/>
        <v>14.687907671070386</v>
      </c>
      <c r="G24" s="69">
        <f t="shared" si="0"/>
        <v>3.4372386673166999</v>
      </c>
      <c r="H24" s="70">
        <f t="shared" si="2"/>
        <v>30.110210725694291</v>
      </c>
      <c r="I24" s="76"/>
      <c r="J24" s="76"/>
      <c r="K24" s="76"/>
      <c r="L24" s="76"/>
      <c r="M24" s="76"/>
      <c r="N24" s="76"/>
      <c r="O24" s="76"/>
      <c r="P24" s="76"/>
    </row>
    <row r="25" spans="1:16" x14ac:dyDescent="0.25">
      <c r="A25" s="76"/>
      <c r="B25" s="60">
        <v>18</v>
      </c>
      <c r="C25" s="64">
        <v>2050</v>
      </c>
      <c r="D25" s="78"/>
      <c r="E25" s="67">
        <v>8.5333588019742557E-4</v>
      </c>
      <c r="F25" s="68">
        <f t="shared" si="1"/>
        <v>7.475222310529448</v>
      </c>
      <c r="G25" s="69">
        <f t="shared" si="0"/>
        <v>1.7493385544047224</v>
      </c>
      <c r="H25" s="70">
        <f t="shared" si="2"/>
        <v>15.32420573658537</v>
      </c>
      <c r="I25" s="76"/>
      <c r="J25" s="76"/>
      <c r="K25" s="76"/>
      <c r="L25" s="76"/>
      <c r="M25" s="76"/>
      <c r="N25" s="76"/>
      <c r="O25" s="76"/>
      <c r="P25" s="76"/>
    </row>
    <row r="26" spans="1:16" x14ac:dyDescent="0.25">
      <c r="A26" s="76"/>
      <c r="B26" s="60">
        <v>19</v>
      </c>
      <c r="C26" s="64">
        <v>2050</v>
      </c>
      <c r="D26" s="78"/>
      <c r="E26" s="67">
        <v>4.1520248394721904E-4</v>
      </c>
      <c r="F26" s="68">
        <f t="shared" si="1"/>
        <v>3.6371737593776388</v>
      </c>
      <c r="G26" s="69">
        <f t="shared" si="0"/>
        <v>0.85116509209179902</v>
      </c>
      <c r="H26" s="70">
        <f t="shared" si="2"/>
        <v>7.4562062067241595</v>
      </c>
      <c r="I26" s="76"/>
      <c r="J26" s="76"/>
      <c r="K26" s="76"/>
      <c r="L26" s="76"/>
      <c r="M26" s="76"/>
      <c r="N26" s="76"/>
      <c r="O26" s="76"/>
      <c r="P26" s="76"/>
    </row>
    <row r="27" spans="1:16" x14ac:dyDescent="0.25">
      <c r="A27" s="76"/>
      <c r="B27" s="60">
        <v>20</v>
      </c>
      <c r="C27" s="64">
        <v>2050</v>
      </c>
      <c r="D27" s="78"/>
      <c r="E27" s="67">
        <v>1.9320271465816941E-4</v>
      </c>
      <c r="F27" s="68">
        <f t="shared" si="1"/>
        <v>1.692455780405564</v>
      </c>
      <c r="G27" s="69">
        <f t="shared" si="0"/>
        <v>0.39606556504924728</v>
      </c>
      <c r="H27" s="70">
        <f t="shared" si="2"/>
        <v>3.469534349831406</v>
      </c>
      <c r="I27" s="76"/>
      <c r="J27" s="76"/>
      <c r="K27" s="76"/>
      <c r="L27" s="76"/>
      <c r="M27" s="76"/>
      <c r="N27" s="76"/>
      <c r="O27" s="76"/>
      <c r="P27" s="76"/>
    </row>
    <row r="28" spans="1:16" x14ac:dyDescent="0.25">
      <c r="A28" s="76"/>
      <c r="B28" s="60">
        <v>21</v>
      </c>
      <c r="C28" s="64">
        <v>2050</v>
      </c>
      <c r="D28" s="78"/>
      <c r="E28" s="67">
        <v>8.5999761683663856E-5</v>
      </c>
      <c r="F28" s="68">
        <f t="shared" si="1"/>
        <v>0.75335791234889538</v>
      </c>
      <c r="G28" s="69">
        <f t="shared" si="0"/>
        <v>0.1762995114515109</v>
      </c>
      <c r="H28" s="70">
        <f t="shared" si="2"/>
        <v>1.5443837203152355</v>
      </c>
      <c r="I28" s="76"/>
      <c r="J28" s="76"/>
      <c r="K28" s="76"/>
      <c r="L28" s="76"/>
      <c r="M28" s="76"/>
      <c r="N28" s="76"/>
      <c r="O28" s="76"/>
      <c r="P28" s="76"/>
    </row>
    <row r="29" spans="1:16" x14ac:dyDescent="0.25">
      <c r="A29" s="76"/>
      <c r="B29" s="60">
        <v>22</v>
      </c>
      <c r="C29" s="64">
        <v>2050</v>
      </c>
      <c r="D29" s="78"/>
      <c r="E29" s="67">
        <v>3.6627980816827943E-5</v>
      </c>
      <c r="F29" s="68">
        <f t="shared" si="1"/>
        <v>0.32086111195541278</v>
      </c>
      <c r="G29" s="69">
        <f t="shared" si="0"/>
        <v>7.5087360674497283E-2</v>
      </c>
      <c r="H29" s="70">
        <f t="shared" si="2"/>
        <v>0.6577652795085962</v>
      </c>
      <c r="I29" s="76"/>
      <c r="J29" s="76"/>
      <c r="K29" s="76"/>
      <c r="L29" s="76"/>
      <c r="M29" s="76"/>
      <c r="N29" s="76"/>
      <c r="O29" s="76"/>
      <c r="P29" s="76"/>
    </row>
    <row r="30" spans="1:16" x14ac:dyDescent="0.25">
      <c r="A30" s="76"/>
      <c r="B30" s="60">
        <v>23</v>
      </c>
      <c r="C30" s="64">
        <v>2050</v>
      </c>
      <c r="D30" s="78"/>
      <c r="E30" s="67">
        <v>1.4929589617573846E-5</v>
      </c>
      <c r="F30" s="68">
        <f t="shared" si="1"/>
        <v>0.13078320504994689</v>
      </c>
      <c r="G30" s="69">
        <f t="shared" si="0"/>
        <v>3.0605658716026385E-2</v>
      </c>
      <c r="H30" s="70">
        <f t="shared" si="2"/>
        <v>0.26810557035239113</v>
      </c>
      <c r="I30" s="76"/>
      <c r="J30" s="76"/>
      <c r="K30" s="76"/>
      <c r="L30" s="76"/>
      <c r="M30" s="76"/>
      <c r="N30" s="76"/>
      <c r="O30" s="76"/>
      <c r="P30" s="76"/>
    </row>
    <row r="31" spans="1:16" x14ac:dyDescent="0.25">
      <c r="A31" s="76"/>
      <c r="B31" s="60">
        <v>24</v>
      </c>
      <c r="C31" s="64">
        <v>2050</v>
      </c>
      <c r="D31" s="78"/>
      <c r="E31" s="67">
        <v>5.8247617854556566E-6</v>
      </c>
      <c r="F31" s="68">
        <f t="shared" si="1"/>
        <v>5.1024913240591552E-2</v>
      </c>
      <c r="G31" s="69">
        <f t="shared" si="0"/>
        <v>1.1940761660184096E-2</v>
      </c>
      <c r="H31" s="70">
        <f t="shared" si="2"/>
        <v>0.10460107214321268</v>
      </c>
      <c r="I31" s="76"/>
      <c r="J31" s="76"/>
      <c r="K31" s="76"/>
      <c r="L31" s="76"/>
      <c r="M31" s="76"/>
      <c r="N31" s="76"/>
      <c r="O31" s="76"/>
      <c r="P31" s="76"/>
    </row>
    <row r="32" spans="1:16" x14ac:dyDescent="0.25">
      <c r="A32" s="76"/>
      <c r="B32" s="61">
        <v>25</v>
      </c>
      <c r="C32" s="75">
        <v>2050</v>
      </c>
      <c r="D32" s="78"/>
      <c r="E32" s="71">
        <v>2.1755583687887992E-6</v>
      </c>
      <c r="F32" s="72">
        <f t="shared" si="1"/>
        <v>1.9057891310589881E-2</v>
      </c>
      <c r="G32" s="73">
        <f t="shared" si="0"/>
        <v>4.4598946560170383E-3</v>
      </c>
      <c r="H32" s="74">
        <f t="shared" si="2"/>
        <v>3.9068677186709248E-2</v>
      </c>
      <c r="I32" s="76"/>
      <c r="J32" s="76"/>
      <c r="K32" s="76"/>
      <c r="L32" s="76"/>
      <c r="M32" s="76"/>
      <c r="N32" s="76"/>
      <c r="O32" s="76"/>
      <c r="P32" s="76"/>
    </row>
    <row r="33" spans="1:16" x14ac:dyDescent="0.25">
      <c r="A33" s="76"/>
      <c r="B33" s="76"/>
      <c r="C33" s="76"/>
      <c r="D33" s="76"/>
      <c r="E33" s="80">
        <f>SUM(E8:E32)</f>
        <v>0.99999882922541594</v>
      </c>
      <c r="F33" s="81">
        <f>SUM(F8:F32)</f>
        <v>8759.9897440146415</v>
      </c>
      <c r="G33" s="81">
        <f>SUM(G8:G32)</f>
        <v>559.00394843887341</v>
      </c>
      <c r="H33" s="81">
        <f>SUM(H8:H32)</f>
        <v>4896.874588324531</v>
      </c>
      <c r="I33" s="76"/>
      <c r="J33" s="76"/>
      <c r="K33" s="76"/>
      <c r="L33" s="76"/>
      <c r="M33" s="76"/>
      <c r="N33" s="76"/>
      <c r="O33" s="76"/>
      <c r="P33" s="76"/>
    </row>
    <row r="34" spans="1:16" x14ac:dyDescent="0.25">
      <c r="A34" s="76"/>
      <c r="B34" s="76"/>
      <c r="C34" s="76"/>
      <c r="D34" s="76"/>
      <c r="E34" s="79"/>
      <c r="F34" s="76"/>
      <c r="G34" s="76"/>
      <c r="H34" s="79"/>
      <c r="I34" s="76"/>
      <c r="J34" s="76"/>
      <c r="K34" s="76"/>
      <c r="L34" s="76"/>
      <c r="M34" s="76"/>
      <c r="N34" s="76"/>
      <c r="O34" s="76"/>
      <c r="P34" s="76"/>
    </row>
    <row r="35" spans="1:16" x14ac:dyDescent="0.25">
      <c r="A35" s="76"/>
      <c r="B35" s="76"/>
      <c r="C35" s="76"/>
      <c r="D35" s="76"/>
      <c r="E35" s="79"/>
      <c r="F35" s="76"/>
      <c r="G35" s="76"/>
      <c r="H35" s="79"/>
      <c r="I35" s="76"/>
      <c r="J35" s="76"/>
      <c r="K35" s="76"/>
      <c r="L35" s="76"/>
      <c r="M35" s="76"/>
      <c r="N35" s="76"/>
      <c r="O35" s="76"/>
      <c r="P35" s="76"/>
    </row>
    <row r="36" spans="1:16" x14ac:dyDescent="0.25">
      <c r="A36" s="76"/>
      <c r="B36" s="76"/>
      <c r="C36" s="76"/>
      <c r="D36" s="76"/>
      <c r="E36" s="82"/>
      <c r="F36" s="83"/>
      <c r="G36" s="82"/>
      <c r="H36" s="83"/>
      <c r="I36" s="76"/>
      <c r="J36" s="76"/>
      <c r="K36" s="76"/>
      <c r="L36" s="76"/>
      <c r="M36" s="76"/>
      <c r="N36" s="76"/>
      <c r="O36" s="76"/>
      <c r="P36" s="76"/>
    </row>
    <row r="37" spans="1:16" x14ac:dyDescent="0.25">
      <c r="A37" s="76"/>
      <c r="B37" s="76"/>
      <c r="C37" s="76"/>
      <c r="D37" s="76"/>
      <c r="E37" s="79"/>
      <c r="F37" s="76"/>
      <c r="G37" s="76"/>
      <c r="H37" s="79"/>
      <c r="I37" s="76"/>
      <c r="J37" s="76"/>
      <c r="K37" s="76"/>
      <c r="L37" s="76"/>
      <c r="M37" s="76"/>
      <c r="N37" s="76"/>
      <c r="O37" s="76"/>
      <c r="P37" s="76"/>
    </row>
    <row r="38" spans="1:16" x14ac:dyDescent="0.25">
      <c r="A38" s="76"/>
      <c r="B38" s="76"/>
      <c r="C38" s="76"/>
      <c r="D38" s="76"/>
      <c r="E38" s="79"/>
      <c r="F38" s="76"/>
      <c r="G38" s="76"/>
      <c r="H38" s="79"/>
      <c r="I38" s="76"/>
      <c r="J38" s="76"/>
      <c r="K38" s="76"/>
      <c r="L38" s="76"/>
      <c r="M38" s="76"/>
      <c r="N38" s="76"/>
      <c r="O38" s="76"/>
      <c r="P38" s="76"/>
    </row>
    <row r="39" spans="1:16" x14ac:dyDescent="0.25">
      <c r="A39" s="76"/>
      <c r="B39" s="76"/>
      <c r="C39" s="76"/>
      <c r="D39" s="76"/>
      <c r="E39" s="79"/>
      <c r="F39" s="76"/>
      <c r="G39" s="76"/>
      <c r="H39" s="79"/>
      <c r="I39" s="76"/>
      <c r="J39" s="76"/>
      <c r="K39" s="76"/>
      <c r="L39" s="76"/>
      <c r="M39" s="76"/>
      <c r="N39" s="76"/>
      <c r="O39" s="76"/>
      <c r="P39" s="76"/>
    </row>
    <row r="40" spans="1:16" x14ac:dyDescent="0.25">
      <c r="A40" s="76"/>
      <c r="B40" s="76"/>
      <c r="C40" s="76"/>
      <c r="D40" s="76"/>
      <c r="E40" s="79"/>
      <c r="F40" s="76"/>
      <c r="G40" s="76"/>
      <c r="H40" s="79"/>
      <c r="I40" s="76"/>
      <c r="J40" s="76"/>
      <c r="K40" s="76"/>
      <c r="L40" s="76"/>
      <c r="M40" s="76"/>
      <c r="N40" s="76"/>
      <c r="O40" s="76"/>
      <c r="P40" s="76"/>
    </row>
    <row r="41" spans="1:16" x14ac:dyDescent="0.25">
      <c r="A41" s="76"/>
      <c r="B41" s="76"/>
      <c r="C41" s="76"/>
      <c r="D41" s="76"/>
      <c r="E41" s="79"/>
      <c r="F41" s="76"/>
      <c r="G41" s="76"/>
      <c r="H41" s="79"/>
      <c r="I41" s="76"/>
      <c r="J41" s="76"/>
      <c r="K41" s="76"/>
      <c r="L41" s="76"/>
      <c r="M41" s="76"/>
      <c r="N41" s="76"/>
      <c r="O41" s="76"/>
      <c r="P41" s="76"/>
    </row>
    <row r="42" spans="1:16" x14ac:dyDescent="0.25">
      <c r="A42" s="76"/>
      <c r="B42" s="76"/>
      <c r="C42" s="76"/>
      <c r="D42" s="76"/>
      <c r="E42" s="79"/>
      <c r="F42" s="76"/>
      <c r="G42" s="76"/>
      <c r="H42" s="79"/>
      <c r="I42" s="76"/>
      <c r="J42" s="76"/>
      <c r="K42" s="76"/>
      <c r="L42" s="76"/>
      <c r="M42" s="76"/>
      <c r="N42" s="76"/>
      <c r="O42" s="76"/>
      <c r="P42" s="76"/>
    </row>
    <row r="43" spans="1:16" x14ac:dyDescent="0.25">
      <c r="A43" s="76"/>
      <c r="B43" s="76"/>
      <c r="C43" s="76"/>
      <c r="D43" s="76"/>
      <c r="E43" s="79"/>
      <c r="F43" s="76"/>
      <c r="G43" s="76"/>
      <c r="H43" s="79"/>
      <c r="I43" s="76"/>
      <c r="J43" s="76"/>
      <c r="K43" s="76"/>
      <c r="L43" s="76"/>
      <c r="M43" s="76"/>
      <c r="N43" s="76"/>
      <c r="O43" s="76"/>
      <c r="P43" s="76"/>
    </row>
    <row r="44" spans="1:16" x14ac:dyDescent="0.25">
      <c r="A44" s="76"/>
      <c r="B44" s="76"/>
      <c r="C44" s="76"/>
      <c r="D44" s="76"/>
      <c r="E44" s="79"/>
      <c r="F44" s="76"/>
      <c r="G44" s="76"/>
      <c r="H44" s="79"/>
      <c r="I44" s="76"/>
      <c r="J44" s="76"/>
      <c r="K44" s="76"/>
      <c r="L44" s="76"/>
      <c r="M44" s="76"/>
      <c r="N44" s="76"/>
      <c r="O44" s="76"/>
      <c r="P44" s="76"/>
    </row>
    <row r="45" spans="1:16" x14ac:dyDescent="0.25">
      <c r="A45" s="76"/>
      <c r="B45" s="76"/>
      <c r="C45" s="76"/>
      <c r="D45" s="76"/>
      <c r="E45" s="79"/>
      <c r="F45" s="76"/>
      <c r="G45" s="76"/>
      <c r="H45" s="79"/>
      <c r="I45" s="76"/>
      <c r="J45" s="76"/>
      <c r="K45" s="76"/>
      <c r="L45" s="76"/>
      <c r="M45" s="76"/>
      <c r="N45" s="76"/>
      <c r="O45" s="76"/>
      <c r="P45" s="76"/>
    </row>
    <row r="46" spans="1:16" x14ac:dyDescent="0.25">
      <c r="A46" s="76"/>
      <c r="B46" s="76"/>
      <c r="C46" s="76"/>
      <c r="D46" s="76"/>
      <c r="E46" s="79"/>
      <c r="F46" s="76"/>
      <c r="G46" s="76"/>
      <c r="H46" s="79"/>
      <c r="I46" s="76"/>
      <c r="J46" s="76"/>
      <c r="K46" s="76"/>
      <c r="L46" s="76"/>
      <c r="M46" s="76"/>
      <c r="N46" s="76"/>
      <c r="O46" s="76"/>
      <c r="P46" s="76"/>
    </row>
    <row r="47" spans="1:16" x14ac:dyDescent="0.25">
      <c r="A47" s="76"/>
      <c r="B47" s="76"/>
      <c r="C47" s="76"/>
      <c r="D47" s="76"/>
      <c r="E47" s="79"/>
      <c r="F47" s="76"/>
      <c r="G47" s="76"/>
      <c r="H47" s="79"/>
      <c r="I47" s="76"/>
      <c r="J47" s="76"/>
      <c r="K47" s="76"/>
      <c r="L47" s="76"/>
      <c r="M47" s="76"/>
      <c r="N47" s="76"/>
      <c r="O47" s="76"/>
      <c r="P47" s="76"/>
    </row>
    <row r="48" spans="1:16" x14ac:dyDescent="0.25">
      <c r="A48" s="76"/>
      <c r="B48" s="76"/>
      <c r="C48" s="76"/>
      <c r="D48" s="76"/>
      <c r="E48" s="79"/>
      <c r="F48" s="76"/>
      <c r="G48" s="76"/>
      <c r="H48" s="79"/>
      <c r="I48" s="76"/>
      <c r="J48" s="76"/>
      <c r="K48" s="76"/>
      <c r="L48" s="76"/>
      <c r="M48" s="76"/>
      <c r="N48" s="76"/>
      <c r="O48" s="76"/>
      <c r="P48" s="76"/>
    </row>
    <row r="49" spans="1:16" x14ac:dyDescent="0.25">
      <c r="A49" s="76"/>
      <c r="B49" s="76"/>
      <c r="C49" s="76"/>
      <c r="D49" s="76"/>
      <c r="E49" s="79"/>
      <c r="F49" s="76"/>
      <c r="G49" s="76"/>
      <c r="H49" s="79"/>
      <c r="I49" s="76"/>
      <c r="J49" s="76"/>
      <c r="K49" s="76"/>
      <c r="L49" s="76"/>
      <c r="M49" s="76"/>
      <c r="N49" s="76"/>
      <c r="O49" s="76"/>
      <c r="P49" s="76"/>
    </row>
    <row r="50" spans="1:16" x14ac:dyDescent="0.25">
      <c r="A50" s="76"/>
      <c r="B50" s="76"/>
      <c r="C50" s="76"/>
      <c r="D50" s="76"/>
      <c r="E50" s="79"/>
      <c r="F50" s="76"/>
      <c r="G50" s="76"/>
      <c r="H50" s="79"/>
      <c r="I50" s="76"/>
      <c r="J50" s="76"/>
      <c r="K50" s="76"/>
      <c r="L50" s="76"/>
      <c r="M50" s="76"/>
      <c r="N50" s="76"/>
      <c r="O50" s="76"/>
      <c r="P50" s="76"/>
    </row>
    <row r="51" spans="1:16" x14ac:dyDescent="0.25">
      <c r="A51" s="76"/>
      <c r="B51" s="76"/>
      <c r="C51" s="76"/>
      <c r="D51" s="76"/>
      <c r="E51" s="79"/>
      <c r="F51" s="76"/>
      <c r="G51" s="76"/>
      <c r="H51" s="79"/>
      <c r="I51" s="76"/>
      <c r="J51" s="76"/>
      <c r="K51" s="76"/>
      <c r="L51" s="76"/>
      <c r="M51" s="76"/>
      <c r="N51" s="76"/>
      <c r="O51" s="76"/>
      <c r="P51" s="76"/>
    </row>
    <row r="52" spans="1:16" x14ac:dyDescent="0.25">
      <c r="A52" s="76"/>
      <c r="B52" s="76"/>
      <c r="C52" s="76"/>
      <c r="D52" s="76"/>
      <c r="E52" s="79"/>
      <c r="F52" s="76"/>
      <c r="G52" s="76"/>
      <c r="H52" s="79"/>
      <c r="I52" s="76"/>
      <c r="J52" s="76"/>
      <c r="K52" s="76"/>
      <c r="L52" s="76"/>
      <c r="M52" s="76"/>
      <c r="N52" s="76"/>
      <c r="O52" s="76"/>
      <c r="P52" s="76"/>
    </row>
    <row r="53" spans="1:16" x14ac:dyDescent="0.25">
      <c r="A53" s="76"/>
      <c r="B53" s="76"/>
      <c r="C53" s="76"/>
      <c r="D53" s="76"/>
      <c r="E53" s="79"/>
      <c r="F53" s="76"/>
      <c r="G53" s="76"/>
      <c r="H53" s="79"/>
      <c r="I53" s="76"/>
      <c r="J53" s="76"/>
      <c r="K53" s="76"/>
      <c r="L53" s="76"/>
      <c r="M53" s="76"/>
      <c r="N53" s="76"/>
      <c r="O53" s="76"/>
      <c r="P53" s="76"/>
    </row>
    <row r="54" spans="1:16" x14ac:dyDescent="0.25">
      <c r="A54" s="76"/>
      <c r="B54" s="76"/>
      <c r="C54" s="76"/>
      <c r="D54" s="76"/>
      <c r="E54" s="79"/>
      <c r="F54" s="76"/>
      <c r="G54" s="76"/>
      <c r="H54" s="79"/>
      <c r="I54" s="76"/>
      <c r="J54" s="76"/>
      <c r="K54" s="76"/>
      <c r="L54" s="76"/>
      <c r="M54" s="76"/>
      <c r="N54" s="76"/>
      <c r="O54" s="76"/>
      <c r="P54" s="76"/>
    </row>
    <row r="55" spans="1:16" x14ac:dyDescent="0.25">
      <c r="A55" s="76"/>
      <c r="B55" s="76"/>
      <c r="C55" s="76"/>
      <c r="D55" s="76"/>
      <c r="E55" s="79"/>
      <c r="F55" s="76"/>
      <c r="G55" s="76"/>
      <c r="H55" s="79"/>
      <c r="I55" s="76"/>
      <c r="J55" s="76"/>
      <c r="K55" s="76"/>
      <c r="L55" s="76"/>
      <c r="M55" s="76"/>
      <c r="N55" s="76"/>
      <c r="O55" s="76"/>
      <c r="P55" s="76"/>
    </row>
    <row r="56" spans="1:16" x14ac:dyDescent="0.25">
      <c r="A56" s="76"/>
      <c r="B56" s="76"/>
      <c r="C56" s="76"/>
      <c r="D56" s="76"/>
      <c r="E56" s="79"/>
      <c r="F56" s="76"/>
      <c r="G56" s="76"/>
      <c r="H56" s="79"/>
      <c r="I56" s="76"/>
      <c r="J56" s="76"/>
      <c r="K56" s="76"/>
      <c r="L56" s="76"/>
      <c r="M56" s="76"/>
      <c r="N56" s="76"/>
      <c r="O56" s="76"/>
      <c r="P56" s="76"/>
    </row>
    <row r="57" spans="1:16" x14ac:dyDescent="0.25">
      <c r="A57" s="76"/>
      <c r="B57" s="76"/>
      <c r="C57" s="76"/>
      <c r="D57" s="76"/>
      <c r="E57" s="79"/>
      <c r="F57" s="76"/>
      <c r="G57" s="76"/>
      <c r="H57" s="79"/>
      <c r="I57" s="76"/>
      <c r="J57" s="76"/>
      <c r="K57" s="76"/>
      <c r="L57" s="76"/>
      <c r="M57" s="76"/>
      <c r="N57" s="76"/>
      <c r="O57" s="76"/>
      <c r="P57" s="76"/>
    </row>
    <row r="58" spans="1:16" x14ac:dyDescent="0.25">
      <c r="J58" s="76"/>
      <c r="K58" s="76"/>
      <c r="L58" s="76"/>
      <c r="M58" s="76"/>
      <c r="N58" s="76"/>
      <c r="O58" s="76"/>
      <c r="P58" s="76"/>
    </row>
  </sheetData>
  <mergeCells count="4">
    <mergeCell ref="G1:G3"/>
    <mergeCell ref="H1:H3"/>
    <mergeCell ref="I1:I3"/>
    <mergeCell ref="J1:J3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56"/>
  <sheetViews>
    <sheetView topLeftCell="B2" workbookViewId="0">
      <selection activeCell="G6" sqref="G6"/>
    </sheetView>
  </sheetViews>
  <sheetFormatPr baseColWidth="10" defaultRowHeight="13.2" x14ac:dyDescent="0.25"/>
  <cols>
    <col min="4" max="4" width="13.6640625" customWidth="1"/>
    <col min="5" max="5" width="13.88671875" customWidth="1"/>
  </cols>
  <sheetData>
    <row r="1" spans="3:12" x14ac:dyDescent="0.25">
      <c r="G1" s="1" t="s">
        <v>89</v>
      </c>
      <c r="H1" s="1" t="s">
        <v>87</v>
      </c>
    </row>
    <row r="2" spans="3:12" x14ac:dyDescent="0.25">
      <c r="C2" s="93" t="s">
        <v>85</v>
      </c>
      <c r="D2">
        <v>25</v>
      </c>
      <c r="E2">
        <v>25</v>
      </c>
      <c r="G2">
        <f>MIN(C7:C65536)</f>
        <v>5</v>
      </c>
      <c r="H2">
        <f>D3</f>
        <v>10</v>
      </c>
    </row>
    <row r="3" spans="3:12" x14ac:dyDescent="0.25">
      <c r="C3" s="93" t="s">
        <v>87</v>
      </c>
      <c r="D3">
        <v>10</v>
      </c>
      <c r="E3">
        <f>D3</f>
        <v>10</v>
      </c>
      <c r="G3">
        <f>MAX(C7:C65536)</f>
        <v>250</v>
      </c>
      <c r="H3">
        <f>D3</f>
        <v>10</v>
      </c>
    </row>
    <row r="4" spans="3:12" x14ac:dyDescent="0.25">
      <c r="C4" s="1" t="s">
        <v>86</v>
      </c>
      <c r="D4">
        <v>0.01</v>
      </c>
      <c r="E4">
        <v>0.3</v>
      </c>
    </row>
    <row r="5" spans="3:12" x14ac:dyDescent="0.25">
      <c r="C5" s="1"/>
      <c r="J5" s="1" t="s">
        <v>3</v>
      </c>
      <c r="K5" s="92">
        <f>0.096*LOG10(D4)+0.016*LOG10(D4)^2+0.24</f>
        <v>0.11199999999999999</v>
      </c>
      <c r="L5" s="92">
        <f>0.096*LOG10(E4)+0.016*LOG10(E4)^2+0.24</f>
        <v>0.19417807536934262</v>
      </c>
    </row>
    <row r="6" spans="3:12" s="91" customFormat="1" ht="52.8" x14ac:dyDescent="0.25">
      <c r="C6" s="94" t="s">
        <v>88</v>
      </c>
      <c r="D6" s="94" t="str">
        <f>"Viento estimado log. (m/s) [Z0 " &amp; D4 &amp; "]"</f>
        <v>Viento estimado log. (m/s) [Z0 0.01]</v>
      </c>
      <c r="E6" s="94" t="str">
        <f>"Viento estimado log. (m/s) [Z0 " &amp; E4 &amp; "]"</f>
        <v>Viento estimado log. (m/s) [Z0 0.3]</v>
      </c>
      <c r="K6" s="94" t="str">
        <f>"Viento estimado exp. (m/s) [Z0 " &amp; D4 &amp; "]"</f>
        <v>Viento estimado exp. (m/s) [Z0 0.01]</v>
      </c>
      <c r="L6" s="94" t="str">
        <f>"Viento estimado exp. (m/s) [Z0 " &amp; E4 &amp; "]"</f>
        <v>Viento estimado exp. (m/s) [Z0 0.3]</v>
      </c>
    </row>
    <row r="7" spans="3:12" x14ac:dyDescent="0.25">
      <c r="C7">
        <v>5</v>
      </c>
      <c r="D7" s="89">
        <f>D$3*LOG($C7/D$4)/LOG(D$2/D$4)</f>
        <v>7.9429595503388946</v>
      </c>
      <c r="E7" s="89">
        <f>E$3*LOG($C7/E$4)/LOG(E$2/E$4)</f>
        <v>6.3610829866285803</v>
      </c>
      <c r="K7" s="89">
        <f>D$3*($C7/D$2)^K$5</f>
        <v>8.3505553597555426</v>
      </c>
      <c r="L7" s="89">
        <f t="shared" ref="L7:L56" si="0">E$3*($C7/E$2)^L$5</f>
        <v>7.3160278462306323</v>
      </c>
    </row>
    <row r="8" spans="3:12" x14ac:dyDescent="0.25">
      <c r="C8">
        <v>10</v>
      </c>
      <c r="D8" s="89">
        <f t="shared" ref="D8:E47" si="1">D$3*LOG($C8/D$4)/LOG(D$2/D$4)</f>
        <v>8.8288786510166855</v>
      </c>
      <c r="E8" s="89">
        <f t="shared" si="1"/>
        <v>7.9282792410620955</v>
      </c>
      <c r="K8" s="89">
        <f t="shared" ref="K8:K56" si="2">D$3*($C8/D$2)^K$5</f>
        <v>9.0246572984236693</v>
      </c>
      <c r="L8" s="89">
        <f t="shared" si="0"/>
        <v>8.3700639277811781</v>
      </c>
    </row>
    <row r="9" spans="3:12" x14ac:dyDescent="0.25">
      <c r="C9">
        <v>15</v>
      </c>
      <c r="D9" s="89">
        <f t="shared" si="1"/>
        <v>9.3471081035858017</v>
      </c>
      <c r="E9" s="89">
        <f t="shared" si="1"/>
        <v>8.8450302811763528</v>
      </c>
      <c r="K9" s="89">
        <f t="shared" si="2"/>
        <v>9.4439339291476045</v>
      </c>
      <c r="L9" s="89">
        <f t="shared" si="0"/>
        <v>9.0556960410135776</v>
      </c>
    </row>
    <row r="10" spans="3:12" x14ac:dyDescent="0.25">
      <c r="C10">
        <v>20</v>
      </c>
      <c r="D10" s="89">
        <f t="shared" si="1"/>
        <v>9.7147977516944746</v>
      </c>
      <c r="E10" s="89">
        <f t="shared" si="1"/>
        <v>9.4954754954956098</v>
      </c>
      <c r="K10" s="89">
        <f t="shared" si="2"/>
        <v>9.7531763871062864</v>
      </c>
      <c r="L10" s="89">
        <f t="shared" si="0"/>
        <v>9.5759572855151145</v>
      </c>
    </row>
    <row r="11" spans="3:12" x14ac:dyDescent="0.25">
      <c r="C11">
        <v>25</v>
      </c>
      <c r="D11" s="89">
        <f t="shared" si="1"/>
        <v>10</v>
      </c>
      <c r="E11" s="89">
        <f t="shared" si="1"/>
        <v>10</v>
      </c>
      <c r="K11" s="89">
        <f t="shared" si="2"/>
        <v>10</v>
      </c>
      <c r="L11" s="89">
        <f t="shared" si="0"/>
        <v>10</v>
      </c>
    </row>
    <row r="12" spans="3:12" x14ac:dyDescent="0.25">
      <c r="C12">
        <v>30</v>
      </c>
      <c r="D12" s="89">
        <f t="shared" si="1"/>
        <v>10.233027204263593</v>
      </c>
      <c r="E12" s="89">
        <f t="shared" si="1"/>
        <v>10.412226535609866</v>
      </c>
      <c r="K12" s="89">
        <f t="shared" si="2"/>
        <v>10.206299292411117</v>
      </c>
      <c r="L12" s="89">
        <f t="shared" si="0"/>
        <v>10.360369912054203</v>
      </c>
    </row>
    <row r="13" spans="3:12" x14ac:dyDescent="0.25">
      <c r="C13">
        <v>35</v>
      </c>
      <c r="D13" s="89">
        <f t="shared" si="1"/>
        <v>10.430048898171535</v>
      </c>
      <c r="E13" s="89">
        <f t="shared" si="1"/>
        <v>10.760759105342748</v>
      </c>
      <c r="K13" s="89">
        <f t="shared" si="2"/>
        <v>10.384039703651791</v>
      </c>
      <c r="L13" s="89">
        <f t="shared" si="0"/>
        <v>10.675171497405529</v>
      </c>
    </row>
    <row r="14" spans="3:12" x14ac:dyDescent="0.25">
      <c r="C14">
        <v>40</v>
      </c>
      <c r="D14" s="89">
        <f t="shared" si="1"/>
        <v>10.600716852372264</v>
      </c>
      <c r="E14" s="89">
        <f t="shared" si="1"/>
        <v>11.062671749929123</v>
      </c>
      <c r="K14" s="89">
        <f t="shared" si="2"/>
        <v>10.54050547211615</v>
      </c>
      <c r="L14" s="89">
        <f t="shared" si="0"/>
        <v>10.955586328277722</v>
      </c>
    </row>
    <row r="15" spans="3:12" x14ac:dyDescent="0.25">
      <c r="C15">
        <v>45</v>
      </c>
      <c r="D15" s="89">
        <f t="shared" si="1"/>
        <v>10.751256656832709</v>
      </c>
      <c r="E15" s="89">
        <f t="shared" si="1"/>
        <v>11.328977575724124</v>
      </c>
      <c r="K15" s="89">
        <f t="shared" si="2"/>
        <v>10.680473838654514</v>
      </c>
      <c r="L15" s="89">
        <f t="shared" si="0"/>
        <v>11.209037542070043</v>
      </c>
    </row>
    <row r="16" spans="3:12" x14ac:dyDescent="0.25">
      <c r="C16">
        <v>50</v>
      </c>
      <c r="D16" s="89">
        <f t="shared" si="1"/>
        <v>10.885919100677789</v>
      </c>
      <c r="E16" s="89">
        <f t="shared" si="1"/>
        <v>11.567196254433515</v>
      </c>
      <c r="K16" s="89">
        <f t="shared" si="2"/>
        <v>10.807254020393515</v>
      </c>
      <c r="L16" s="89">
        <f t="shared" si="0"/>
        <v>11.440721801098128</v>
      </c>
    </row>
    <row r="17" spans="3:12" x14ac:dyDescent="0.25">
      <c r="C17">
        <v>55</v>
      </c>
      <c r="D17" s="89">
        <f t="shared" si="1"/>
        <v>11.007736098778357</v>
      </c>
      <c r="E17" s="89">
        <f t="shared" si="1"/>
        <v>11.782691261825823</v>
      </c>
      <c r="K17" s="89">
        <f t="shared" si="2"/>
        <v>10.923236589209013</v>
      </c>
      <c r="L17" s="89">
        <f t="shared" si="0"/>
        <v>11.654428374177961</v>
      </c>
    </row>
    <row r="18" spans="3:12" x14ac:dyDescent="0.25">
      <c r="C18">
        <v>60</v>
      </c>
      <c r="D18" s="89">
        <f t="shared" si="1"/>
        <v>11.11894630494138</v>
      </c>
      <c r="E18" s="89">
        <f t="shared" si="1"/>
        <v>11.979422790043381</v>
      </c>
      <c r="K18" s="89">
        <f t="shared" si="2"/>
        <v>11.030206906124951</v>
      </c>
      <c r="L18" s="89">
        <f t="shared" si="0"/>
        <v>11.853010992027963</v>
      </c>
    </row>
    <row r="19" spans="3:12" x14ac:dyDescent="0.25">
      <c r="C19">
        <v>65</v>
      </c>
      <c r="D19" s="89">
        <f t="shared" si="1"/>
        <v>11.221249777546825</v>
      </c>
      <c r="E19" s="89">
        <f t="shared" si="1"/>
        <v>12.160398252656309</v>
      </c>
      <c r="K19" s="89">
        <f t="shared" si="2"/>
        <v>11.129534882006585</v>
      </c>
      <c r="L19" s="89">
        <f t="shared" si="0"/>
        <v>12.038675991890456</v>
      </c>
    </row>
    <row r="20" spans="3:12" x14ac:dyDescent="0.25">
      <c r="C20">
        <v>70</v>
      </c>
      <c r="D20" s="89">
        <f t="shared" si="1"/>
        <v>11.315967998849324</v>
      </c>
      <c r="E20" s="89">
        <f t="shared" si="1"/>
        <v>12.327955359776261</v>
      </c>
      <c r="K20" s="89">
        <f t="shared" si="2"/>
        <v>11.22229548352167</v>
      </c>
      <c r="L20" s="89">
        <f t="shared" si="0"/>
        <v>12.213166728082875</v>
      </c>
    </row>
    <row r="21" spans="3:12" x14ac:dyDescent="0.25">
      <c r="C21">
        <v>75</v>
      </c>
      <c r="D21" s="89">
        <f t="shared" si="1"/>
        <v>11.404148553246907</v>
      </c>
      <c r="E21" s="89">
        <f t="shared" si="1"/>
        <v>12.483947294547772</v>
      </c>
      <c r="K21" s="89">
        <f t="shared" si="2"/>
        <v>11.309348327491442</v>
      </c>
      <c r="L21" s="89">
        <f t="shared" si="0"/>
        <v>12.377886240112193</v>
      </c>
    </row>
    <row r="22" spans="3:12" x14ac:dyDescent="0.25">
      <c r="C22">
        <v>80</v>
      </c>
      <c r="D22" s="89">
        <f t="shared" si="1"/>
        <v>11.486635953050055</v>
      </c>
      <c r="E22" s="89">
        <f t="shared" si="1"/>
        <v>12.629868004362637</v>
      </c>
      <c r="K22" s="89">
        <f t="shared" si="2"/>
        <v>11.391392014050712</v>
      </c>
      <c r="L22" s="89">
        <f t="shared" si="0"/>
        <v>12.533981534973952</v>
      </c>
    </row>
    <row r="23" spans="3:12" x14ac:dyDescent="0.25">
      <c r="C23">
        <v>85</v>
      </c>
      <c r="D23" s="89">
        <f t="shared" si="1"/>
        <v>11.56412095471328</v>
      </c>
      <c r="E23" s="89">
        <f t="shared" si="1"/>
        <v>12.766939441572282</v>
      </c>
      <c r="K23" s="89">
        <f t="shared" si="2"/>
        <v>11.469002270327049</v>
      </c>
      <c r="L23" s="89">
        <f t="shared" si="0"/>
        <v>12.682403112817259</v>
      </c>
    </row>
    <row r="24" spans="3:12" x14ac:dyDescent="0.25">
      <c r="C24">
        <v>90</v>
      </c>
      <c r="D24" s="89">
        <f t="shared" si="1"/>
        <v>11.637175757510498</v>
      </c>
      <c r="E24" s="89">
        <f t="shared" si="1"/>
        <v>12.89617383015764</v>
      </c>
      <c r="K24" s="89">
        <f t="shared" si="2"/>
        <v>11.542659383250676</v>
      </c>
      <c r="L24" s="89">
        <f t="shared" si="0"/>
        <v>12.823948017688808</v>
      </c>
    </row>
    <row r="25" spans="3:12" x14ac:dyDescent="0.25">
      <c r="C25">
        <v>95</v>
      </c>
      <c r="D25" s="89">
        <f t="shared" si="1"/>
        <v>11.706279672793274</v>
      </c>
      <c r="E25" s="89">
        <f t="shared" si="1"/>
        <v>13.01841907480244</v>
      </c>
      <c r="K25" s="89">
        <f t="shared" si="2"/>
        <v>11.612768348560717</v>
      </c>
      <c r="L25" s="89">
        <f t="shared" si="0"/>
        <v>12.959291623479496</v>
      </c>
    </row>
    <row r="26" spans="3:12" x14ac:dyDescent="0.25">
      <c r="C26">
        <v>100</v>
      </c>
      <c r="D26" s="89">
        <f t="shared" si="1"/>
        <v>11.77183820135558</v>
      </c>
      <c r="E26" s="89">
        <f t="shared" si="1"/>
        <v>13.134392508867027</v>
      </c>
      <c r="K26" s="89">
        <f t="shared" si="2"/>
        <v>11.679673946131178</v>
      </c>
      <c r="L26" s="89">
        <f t="shared" si="0"/>
        <v>13.089011533012197</v>
      </c>
    </row>
    <row r="27" spans="3:12" x14ac:dyDescent="0.25">
      <c r="C27">
        <v>105</v>
      </c>
      <c r="D27" s="89">
        <f t="shared" si="1"/>
        <v>11.834197451418442</v>
      </c>
      <c r="E27" s="89">
        <f t="shared" si="1"/>
        <v>13.24470639989052</v>
      </c>
      <c r="K27" s="89">
        <f t="shared" si="2"/>
        <v>11.743672205509911</v>
      </c>
      <c r="L27" s="89">
        <f t="shared" si="0"/>
        <v>13.213605838857376</v>
      </c>
    </row>
    <row r="28" spans="3:12" x14ac:dyDescent="0.25">
      <c r="C28">
        <v>110</v>
      </c>
      <c r="D28" s="89">
        <f t="shared" si="1"/>
        <v>11.89365519945615</v>
      </c>
      <c r="E28" s="89">
        <f t="shared" si="1"/>
        <v>13.349887516259336</v>
      </c>
      <c r="K28" s="89">
        <f t="shared" si="2"/>
        <v>11.805019254443865</v>
      </c>
      <c r="L28" s="89">
        <f t="shared" si="0"/>
        <v>13.333507277979439</v>
      </c>
    </row>
    <row r="29" spans="3:12" x14ac:dyDescent="0.25">
      <c r="C29">
        <v>115</v>
      </c>
      <c r="D29" s="89">
        <f t="shared" si="1"/>
        <v>11.950469490309187</v>
      </c>
      <c r="E29" s="89">
        <f t="shared" si="1"/>
        <v>13.450392340859072</v>
      </c>
      <c r="K29" s="89">
        <f t="shared" si="2"/>
        <v>11.863938237954702</v>
      </c>
      <c r="L29" s="89">
        <f t="shared" si="0"/>
        <v>13.449094346014824</v>
      </c>
    </row>
    <row r="30" spans="3:12" x14ac:dyDescent="0.25">
      <c r="C30">
        <v>120</v>
      </c>
      <c r="D30" s="89">
        <f t="shared" si="1"/>
        <v>12.004865405619171</v>
      </c>
      <c r="E30" s="89">
        <f t="shared" si="1"/>
        <v>13.546619044476895</v>
      </c>
      <c r="K30" s="89">
        <f t="shared" si="2"/>
        <v>11.920624793199119</v>
      </c>
      <c r="L30" s="89">
        <f t="shared" si="0"/>
        <v>13.560700126515005</v>
      </c>
    </row>
    <row r="31" spans="3:12" x14ac:dyDescent="0.25">
      <c r="C31">
        <v>125</v>
      </c>
      <c r="D31" s="89">
        <f t="shared" si="1"/>
        <v>12.057040449661105</v>
      </c>
      <c r="E31" s="89">
        <f t="shared" si="1"/>
        <v>13.638917013371421</v>
      </c>
      <c r="K31" s="89">
        <f t="shared" si="2"/>
        <v>11.97525142841846</v>
      </c>
      <c r="L31" s="89">
        <f t="shared" si="0"/>
        <v>13.668619379506879</v>
      </c>
    </row>
    <row r="32" spans="3:12" x14ac:dyDescent="0.25">
      <c r="C32">
        <v>130</v>
      </c>
      <c r="D32" s="89">
        <f t="shared" si="1"/>
        <v>12.107168878224615</v>
      </c>
      <c r="E32" s="89">
        <f t="shared" si="1"/>
        <v>13.727594507089822</v>
      </c>
      <c r="K32" s="89">
        <f t="shared" si="2"/>
        <v>12.027971059867554</v>
      </c>
      <c r="L32" s="89">
        <f t="shared" si="0"/>
        <v>13.773114287677776</v>
      </c>
    </row>
    <row r="33" spans="3:12" x14ac:dyDescent="0.25">
      <c r="C33">
        <v>135</v>
      </c>
      <c r="D33" s="89">
        <f t="shared" si="1"/>
        <v>12.155405210079618</v>
      </c>
      <c r="E33" s="89">
        <f t="shared" si="1"/>
        <v>13.812924870271896</v>
      </c>
      <c r="K33" s="89">
        <f t="shared" si="2"/>
        <v>12.078919894400354</v>
      </c>
      <c r="L33" s="89">
        <f t="shared" si="0"/>
        <v>13.874419155688976</v>
      </c>
    </row>
    <row r="34" spans="3:12" x14ac:dyDescent="0.25">
      <c r="C34">
        <v>140</v>
      </c>
      <c r="D34" s="89">
        <f t="shared" si="1"/>
        <v>12.201887099527113</v>
      </c>
      <c r="E34" s="89">
        <f t="shared" si="1"/>
        <v>13.895151614209777</v>
      </c>
      <c r="K34" s="89">
        <f t="shared" si="2"/>
        <v>12.128219798233353</v>
      </c>
      <c r="L34" s="89">
        <f t="shared" si="0"/>
        <v>13.972744284642406</v>
      </c>
    </row>
    <row r="35" spans="3:12" x14ac:dyDescent="0.25">
      <c r="C35">
        <v>145</v>
      </c>
      <c r="D35" s="89">
        <f t="shared" si="1"/>
        <v>12.246737704652109</v>
      </c>
      <c r="E35" s="89">
        <f t="shared" si="1"/>
        <v>13.974492606301709</v>
      </c>
      <c r="K35" s="89">
        <f t="shared" si="2"/>
        <v>12.175980258343724</v>
      </c>
      <c r="L35" s="89">
        <f t="shared" si="0"/>
        <v>14.06827919046561</v>
      </c>
    </row>
    <row r="36" spans="3:12" x14ac:dyDescent="0.25">
      <c r="C36">
        <v>150</v>
      </c>
      <c r="D36" s="89">
        <f t="shared" si="1"/>
        <v>12.290067653924698</v>
      </c>
      <c r="E36" s="89">
        <f t="shared" si="1"/>
        <v>14.051143548981285</v>
      </c>
      <c r="K36" s="89">
        <f t="shared" si="2"/>
        <v>12.222300018031255</v>
      </c>
      <c r="L36" s="89">
        <f t="shared" si="0"/>
        <v>14.161195295876407</v>
      </c>
    </row>
    <row r="37" spans="3:12" x14ac:dyDescent="0.25">
      <c r="C37">
        <v>155</v>
      </c>
      <c r="D37" s="89">
        <f t="shared" si="1"/>
        <v>12.331976690218058</v>
      </c>
      <c r="E37" s="89">
        <f t="shared" si="1"/>
        <v>14.125280887995228</v>
      </c>
      <c r="K37" s="89">
        <f t="shared" si="2"/>
        <v>12.267268449710485</v>
      </c>
      <c r="L37" s="89">
        <f t="shared" si="0"/>
        <v>14.251648196535815</v>
      </c>
    </row>
    <row r="38" spans="3:12" x14ac:dyDescent="0.25">
      <c r="C38">
        <v>160</v>
      </c>
      <c r="D38" s="89">
        <f t="shared" si="1"/>
        <v>12.372555053727844</v>
      </c>
      <c r="E38" s="89">
        <f t="shared" si="1"/>
        <v>14.197064258796152</v>
      </c>
      <c r="K38" s="89">
        <f t="shared" si="2"/>
        <v>12.310966714172814</v>
      </c>
      <c r="L38" s="89">
        <f t="shared" si="0"/>
        <v>14.339779580173786</v>
      </c>
    </row>
    <row r="39" spans="3:12" x14ac:dyDescent="0.25">
      <c r="C39">
        <v>165</v>
      </c>
      <c r="D39" s="89">
        <f t="shared" si="1"/>
        <v>12.411884652025268</v>
      </c>
      <c r="E39" s="89">
        <f t="shared" si="1"/>
        <v>14.266638556373593</v>
      </c>
      <c r="K39" s="89">
        <f t="shared" si="2"/>
        <v>12.353468745096428</v>
      </c>
      <c r="L39" s="89">
        <f t="shared" si="0"/>
        <v>14.425718860911047</v>
      </c>
    </row>
    <row r="40" spans="3:12" x14ac:dyDescent="0.25">
      <c r="C40">
        <v>170</v>
      </c>
      <c r="D40" s="89">
        <f t="shared" si="1"/>
        <v>12.450040055391069</v>
      </c>
      <c r="E40" s="89">
        <f t="shared" si="1"/>
        <v>14.334135696005797</v>
      </c>
      <c r="K40" s="89">
        <f t="shared" si="2"/>
        <v>12.394842089589435</v>
      </c>
      <c r="L40" s="89">
        <f t="shared" si="0"/>
        <v>14.509584578312316</v>
      </c>
    </row>
    <row r="41" spans="3:12" x14ac:dyDescent="0.25">
      <c r="C41">
        <v>175</v>
      </c>
      <c r="D41" s="89">
        <f t="shared" si="1"/>
        <v>12.487089347832638</v>
      </c>
      <c r="E41" s="89">
        <f t="shared" si="1"/>
        <v>14.399676118714167</v>
      </c>
      <c r="K41" s="89">
        <f t="shared" si="2"/>
        <v>12.435148629391012</v>
      </c>
      <c r="L41" s="89">
        <f t="shared" si="0"/>
        <v>14.591485600899667</v>
      </c>
    </row>
    <row r="42" spans="3:12" x14ac:dyDescent="0.25">
      <c r="C42">
        <v>180</v>
      </c>
      <c r="D42" s="89">
        <f t="shared" si="1"/>
        <v>12.523094858188289</v>
      </c>
      <c r="E42" s="89">
        <f t="shared" si="1"/>
        <v>14.463370084591151</v>
      </c>
      <c r="K42" s="89">
        <f t="shared" si="2"/>
        <v>12.47444520256688</v>
      </c>
      <c r="L42" s="89">
        <f t="shared" si="0"/>
        <v>14.671522166212148</v>
      </c>
    </row>
    <row r="43" spans="3:12" x14ac:dyDescent="0.25">
      <c r="C43">
        <v>185</v>
      </c>
      <c r="D43" s="89">
        <f t="shared" si="1"/>
        <v>12.558113791039778</v>
      </c>
      <c r="E43" s="89">
        <f t="shared" si="1"/>
        <v>14.525318788888335</v>
      </c>
      <c r="K43" s="89">
        <f t="shared" si="2"/>
        <v>12.512784141783897</v>
      </c>
      <c r="L43" s="89">
        <f t="shared" si="0"/>
        <v>14.749786783495015</v>
      </c>
    </row>
    <row r="44" spans="3:12" x14ac:dyDescent="0.25">
      <c r="C44">
        <v>190</v>
      </c>
      <c r="D44" s="89">
        <f t="shared" si="1"/>
        <v>12.592198773471065</v>
      </c>
      <c r="E44" s="89">
        <f t="shared" si="1"/>
        <v>14.585615329235953</v>
      </c>
      <c r="K44" s="89">
        <f t="shared" si="2"/>
        <v>12.55021374228814</v>
      </c>
      <c r="L44" s="89">
        <f t="shared" si="0"/>
        <v>14.82636502035302</v>
      </c>
    </row>
    <row r="45" spans="3:12" x14ac:dyDescent="0.25">
      <c r="C45">
        <v>195</v>
      </c>
      <c r="D45" s="89">
        <f t="shared" si="1"/>
        <v>12.625398330793733</v>
      </c>
      <c r="E45" s="89">
        <f t="shared" si="1"/>
        <v>14.644345547204082</v>
      </c>
      <c r="K45" s="89">
        <f t="shared" si="2"/>
        <v>12.586778670357885</v>
      </c>
      <c r="L45" s="89">
        <f t="shared" si="0"/>
        <v>14.901336190918988</v>
      </c>
    </row>
    <row r="46" spans="3:12" x14ac:dyDescent="0.25">
      <c r="C46">
        <v>200</v>
      </c>
      <c r="D46" s="89">
        <f t="shared" si="1"/>
        <v>12.657757302033369</v>
      </c>
      <c r="E46" s="89">
        <f t="shared" si="1"/>
        <v>14.701588763300542</v>
      </c>
      <c r="K46" s="89">
        <f t="shared" si="2"/>
        <v>12.622520321121156</v>
      </c>
      <c r="L46" s="89">
        <f t="shared" si="0"/>
        <v>14.974773960055748</v>
      </c>
    </row>
    <row r="47" spans="3:12" x14ac:dyDescent="0.25">
      <c r="C47">
        <v>205</v>
      </c>
      <c r="D47" s="89">
        <f t="shared" si="1"/>
        <v>12.689317204104638</v>
      </c>
      <c r="E47" s="89">
        <f t="shared" si="1"/>
        <v>14.757418421198807</v>
      </c>
      <c r="K47" s="89">
        <f t="shared" si="2"/>
        <v>12.657477133112563</v>
      </c>
      <c r="L47" s="89">
        <f t="shared" si="0"/>
        <v>15.046746875662762</v>
      </c>
    </row>
    <row r="48" spans="3:12" x14ac:dyDescent="0.25">
      <c r="C48">
        <v>210</v>
      </c>
      <c r="D48" s="89">
        <f t="shared" ref="D48:E56" si="3">D$3*LOG($C48/D$4)/LOG(D$2/D$4)</f>
        <v>12.720116552096231</v>
      </c>
      <c r="E48" s="89">
        <f t="shared" si="3"/>
        <v>14.811902654324035</v>
      </c>
      <c r="K48" s="89">
        <f t="shared" si="2"/>
        <v>12.691684865718056</v>
      </c>
      <c r="L48" s="89">
        <f t="shared" si="0"/>
        <v>15.117318839173308</v>
      </c>
    </row>
    <row r="49" spans="3:12" x14ac:dyDescent="0.25">
      <c r="C49">
        <v>215</v>
      </c>
      <c r="D49" s="89">
        <f t="shared" si="3"/>
        <v>12.750191141864162</v>
      </c>
      <c r="E49" s="89">
        <f t="shared" si="3"/>
        <v>14.8651047857623</v>
      </c>
      <c r="K49" s="89">
        <f t="shared" si="2"/>
        <v>12.725176844657884</v>
      </c>
      <c r="L49" s="89">
        <f t="shared" si="0"/>
        <v>15.186549522708749</v>
      </c>
    </row>
    <row r="50" spans="3:12" x14ac:dyDescent="0.25">
      <c r="C50">
        <v>220</v>
      </c>
      <c r="D50" s="89">
        <f t="shared" si="3"/>
        <v>12.779574300133939</v>
      </c>
      <c r="E50" s="89">
        <f t="shared" si="3"/>
        <v>14.917083770692852</v>
      </c>
      <c r="K50" s="89">
        <f t="shared" si="2"/>
        <v>12.757984179841131</v>
      </c>
      <c r="L50" s="89">
        <f t="shared" si="0"/>
        <v>15.254494740027994</v>
      </c>
    </row>
    <row r="51" spans="3:12" x14ac:dyDescent="0.25">
      <c r="C51">
        <v>225</v>
      </c>
      <c r="D51" s="89">
        <f t="shared" si="3"/>
        <v>12.808297106493816</v>
      </c>
      <c r="E51" s="89">
        <f t="shared" si="3"/>
        <v>14.967894589095545</v>
      </c>
      <c r="K51" s="89">
        <f t="shared" si="2"/>
        <v>12.790135959253348</v>
      </c>
      <c r="L51" s="89">
        <f t="shared" si="0"/>
        <v>15.321206777315874</v>
      </c>
    </row>
    <row r="52" spans="3:12" x14ac:dyDescent="0.25">
      <c r="C52">
        <v>230</v>
      </c>
      <c r="D52" s="89">
        <f t="shared" si="3"/>
        <v>12.836388590986976</v>
      </c>
      <c r="E52" s="89">
        <f t="shared" si="3"/>
        <v>15.017588595292587</v>
      </c>
      <c r="K52" s="89">
        <f t="shared" si="2"/>
        <v>12.821659421983631</v>
      </c>
      <c r="L52" s="89">
        <f t="shared" si="0"/>
        <v>15.386734688947737</v>
      </c>
    </row>
    <row r="53" spans="3:12" x14ac:dyDescent="0.25">
      <c r="C53">
        <v>235</v>
      </c>
      <c r="D53" s="89">
        <f t="shared" si="3"/>
        <v>12.863875910452023</v>
      </c>
      <c r="E53" s="89">
        <f t="shared" si="3"/>
        <v>15.066213829895927</v>
      </c>
      <c r="K53" s="89">
        <f t="shared" si="2"/>
        <v>12.852580113036575</v>
      </c>
      <c r="L53" s="89">
        <f t="shared" si="0"/>
        <v>15.451124562613829</v>
      </c>
    </row>
    <row r="54" spans="3:12" x14ac:dyDescent="0.25">
      <c r="C54">
        <v>240</v>
      </c>
      <c r="D54" s="89">
        <f t="shared" si="3"/>
        <v>12.890784506296962</v>
      </c>
      <c r="E54" s="89">
        <f t="shared" si="3"/>
        <v>15.11381529891041</v>
      </c>
      <c r="K54" s="89">
        <f t="shared" si="2"/>
        <v>12.88292202219038</v>
      </c>
      <c r="L54" s="89">
        <f t="shared" si="0"/>
        <v>15.514419757557436</v>
      </c>
    </row>
    <row r="55" spans="3:12" x14ac:dyDescent="0.25">
      <c r="C55">
        <v>245</v>
      </c>
      <c r="D55" s="89">
        <f t="shared" si="3"/>
        <v>12.917138246004173</v>
      </c>
      <c r="E55" s="89">
        <f t="shared" si="3"/>
        <v>15.160435224056915</v>
      </c>
      <c r="K55" s="89">
        <f t="shared" si="2"/>
        <v>12.912707708840742</v>
      </c>
      <c r="L55" s="89">
        <f t="shared" si="0"/>
        <v>15.576661119152732</v>
      </c>
    </row>
    <row r="56" spans="3:12" x14ac:dyDescent="0.25">
      <c r="C56">
        <v>250</v>
      </c>
      <c r="D56" s="89">
        <f t="shared" si="3"/>
        <v>12.942959550338895</v>
      </c>
      <c r="E56" s="89">
        <f t="shared" si="3"/>
        <v>15.206113267804934</v>
      </c>
      <c r="K56" s="89">
        <f t="shared" si="2"/>
        <v>12.941958414499862</v>
      </c>
      <c r="L56" s="89">
        <f t="shared" si="0"/>
        <v>15.637887172603673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Calculo</vt:lpstr>
      <vt:lpstr>AEROS</vt:lpstr>
      <vt:lpstr>CURVAS</vt:lpstr>
      <vt:lpstr>Rugosidad</vt:lpstr>
      <vt:lpstr>EJEMPLO CALCULO</vt:lpstr>
      <vt:lpstr>Ejemplo Rugosidad</vt:lpstr>
    </vt:vector>
  </TitlesOfParts>
  <Company>UVIGO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</dc:creator>
  <cp:lastModifiedBy>Cami</cp:lastModifiedBy>
  <cp:lastPrinted>2007-09-27T14:49:41Z</cp:lastPrinted>
  <dcterms:created xsi:type="dcterms:W3CDTF">2007-09-26T17:57:06Z</dcterms:created>
  <dcterms:modified xsi:type="dcterms:W3CDTF">2016-03-11T10:25:40Z</dcterms:modified>
</cp:coreProperties>
</file>